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6840" windowHeight="6570" activeTab="0"/>
  </bookViews>
  <sheets>
    <sheet name="Main" sheetId="1" r:id="rId1"/>
    <sheet name="Formulas" sheetId="2" r:id="rId2"/>
    <sheet name="Calc1" sheetId="3" r:id="rId3"/>
  </sheets>
  <definedNames>
    <definedName name="eqa" localSheetId="1">'Formulas'!$C$2</definedName>
    <definedName name="ref" localSheetId="1">'Formulas'!$B$24</definedName>
  </definedNames>
  <calcPr fullCalcOnLoad="1"/>
</workbook>
</file>

<file path=xl/sharedStrings.xml><?xml version="1.0" encoding="utf-8"?>
<sst xmlns="http://schemas.openxmlformats.org/spreadsheetml/2006/main" count="186" uniqueCount="139">
  <si>
    <t>Input the following parameters:</t>
  </si>
  <si>
    <t>MHz</t>
  </si>
  <si>
    <t>feet</t>
  </si>
  <si>
    <t>inches</t>
  </si>
  <si>
    <t>Watts</t>
  </si>
  <si>
    <t>ft²</t>
  </si>
  <si>
    <t xml:space="preserve">ft </t>
  </si>
  <si>
    <t>%</t>
  </si>
  <si>
    <t>pF</t>
  </si>
  <si>
    <t>V</t>
  </si>
  <si>
    <t>mils (1/1000 in)</t>
  </si>
  <si>
    <t>milliohms</t>
  </si>
  <si>
    <t>mΩ</t>
  </si>
  <si>
    <t>Calculated Results:</t>
  </si>
  <si>
    <t>Calculations:</t>
  </si>
  <si>
    <t>Givens:</t>
  </si>
  <si>
    <t>Ω</t>
  </si>
  <si>
    <r>
      <t>π</t>
    </r>
    <r>
      <rPr>
        <sz val="10"/>
        <rFont val="Arial"/>
        <family val="0"/>
      </rPr>
      <t xml:space="preserve"> =</t>
    </r>
  </si>
  <si>
    <r>
      <t xml:space="preserve">Loop Diameter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</si>
  <si>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Conductor Diameter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</si>
  <si>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RF Power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>=</t>
    </r>
  </si>
  <si>
    <r>
      <t xml:space="preserve">Loop Circumference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 </t>
    </r>
  </si>
  <si>
    <r>
      <t xml:space="preserve">Loop Area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=</t>
    </r>
  </si>
  <si>
    <t>in</t>
  </si>
  <si>
    <r>
      <t xml:space="preserve">Frequency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=</t>
    </r>
  </si>
  <si>
    <t>Hz</t>
  </si>
  <si>
    <r>
      <t xml:space="preserve">Radiation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R</t>
    </r>
    <r>
      <rPr>
        <sz val="10"/>
        <rFont val="Arial"/>
        <family val="0"/>
      </rPr>
      <t>=</t>
    </r>
  </si>
  <si>
    <t>m</t>
  </si>
  <si>
    <t>m²</t>
  </si>
  <si>
    <r>
      <t xml:space="preserve">Added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</t>
    </r>
    <r>
      <rPr>
        <sz val="10"/>
        <rFont val="Arial"/>
        <family val="2"/>
      </rPr>
      <t>=</t>
    </r>
  </si>
  <si>
    <r>
      <t xml:space="preserve">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L=</t>
    </r>
  </si>
  <si>
    <r>
      <t xml:space="preserve">Total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T</t>
    </r>
    <r>
      <rPr>
        <sz val="10"/>
        <rFont val="Arial"/>
        <family val="0"/>
      </rPr>
      <t>=</t>
    </r>
  </si>
  <si>
    <t>ft</t>
  </si>
  <si>
    <r>
      <t xml:space="preserve">Efficiency </t>
    </r>
    <r>
      <rPr>
        <b/>
        <sz val="10"/>
        <rFont val="Arial"/>
        <family val="2"/>
      </rPr>
      <t>η</t>
    </r>
    <r>
      <rPr>
        <sz val="10"/>
        <rFont val="Arial"/>
        <family val="0"/>
      </rPr>
      <t>=</t>
    </r>
  </si>
  <si>
    <r>
      <t xml:space="preserve">Inductance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=</t>
    </r>
  </si>
  <si>
    <t>H</t>
  </si>
  <si>
    <t>μH</t>
  </si>
  <si>
    <r>
      <t xml:space="preserve">Inductive Reactance </t>
    </r>
    <r>
      <rPr>
        <b/>
        <sz val="10"/>
        <rFont val="Arial"/>
        <family val="2"/>
      </rPr>
      <t>X</t>
    </r>
    <r>
      <rPr>
        <b/>
        <sz val="8"/>
        <rFont val="Arial"/>
        <family val="2"/>
      </rPr>
      <t>L</t>
    </r>
    <r>
      <rPr>
        <sz val="10"/>
        <rFont val="Arial"/>
        <family val="0"/>
      </rPr>
      <t>=</t>
    </r>
  </si>
  <si>
    <r>
      <t xml:space="preserve">Tuning Capacitor </t>
    </r>
    <r>
      <rPr>
        <b/>
        <sz val="10"/>
        <rFont val="Arial"/>
        <family val="2"/>
      </rPr>
      <t>C</t>
    </r>
    <r>
      <rPr>
        <b/>
        <sz val="8"/>
        <rFont val="Arial"/>
        <family val="2"/>
      </rPr>
      <t>T</t>
    </r>
    <r>
      <rPr>
        <sz val="10"/>
        <rFont val="Arial"/>
        <family val="0"/>
      </rPr>
      <t>=</t>
    </r>
  </si>
  <si>
    <t>F</t>
  </si>
  <si>
    <t>ρF</t>
  </si>
  <si>
    <r>
      <t xml:space="preserve">Quality Factor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=</t>
    </r>
  </si>
  <si>
    <r>
      <t xml:space="preserve">Bandwidth </t>
    </r>
    <r>
      <rPr>
        <b/>
        <sz val="8"/>
        <rFont val="Arial"/>
        <family val="2"/>
      </rPr>
      <t>Δ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= </t>
    </r>
  </si>
  <si>
    <t>kHz</t>
  </si>
  <si>
    <r>
      <t>Distributed Capacity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D</t>
    </r>
    <r>
      <rPr>
        <sz val="10"/>
        <rFont val="Arial"/>
        <family val="0"/>
      </rPr>
      <t>=</t>
    </r>
  </si>
  <si>
    <r>
      <t xml:space="preserve">Capacitor Potential </t>
    </r>
    <r>
      <rPr>
        <b/>
        <sz val="10"/>
        <rFont val="Arial"/>
        <family val="2"/>
      </rPr>
      <t>V</t>
    </r>
    <r>
      <rPr>
        <b/>
        <sz val="8"/>
        <rFont val="Arial"/>
        <family val="2"/>
      </rPr>
      <t>C</t>
    </r>
    <r>
      <rPr>
        <sz val="10"/>
        <rFont val="Arial"/>
        <family val="0"/>
      </rPr>
      <t>=</t>
    </r>
  </si>
  <si>
    <r>
      <t xml:space="preserve">Minimum Plate Spacing 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S</t>
    </r>
    <r>
      <rPr>
        <sz val="10"/>
        <rFont val="Arial"/>
        <family val="0"/>
      </rPr>
      <t>=</t>
    </r>
  </si>
  <si>
    <t>mils</t>
  </si>
  <si>
    <t>mm</t>
  </si>
  <si>
    <r>
      <t xml:space="preserve">Wavelength </t>
    </r>
    <r>
      <rPr>
        <b/>
        <sz val="10"/>
        <rFont val="Arial"/>
        <family val="2"/>
      </rPr>
      <t>λ</t>
    </r>
    <r>
      <rPr>
        <sz val="10"/>
        <rFont val="Arial"/>
        <family val="0"/>
      </rPr>
      <t>=</t>
    </r>
  </si>
  <si>
    <r>
      <t xml:space="preserve">Circumference % </t>
    </r>
    <r>
      <rPr>
        <b/>
        <sz val="10"/>
        <rFont val="Arial"/>
        <family val="2"/>
      </rPr>
      <t>λ</t>
    </r>
    <r>
      <rPr>
        <sz val="10"/>
        <rFont val="Arial"/>
        <family val="0"/>
      </rPr>
      <t>=</t>
    </r>
  </si>
  <si>
    <t>% λ</t>
  </si>
  <si>
    <t>dB</t>
  </si>
  <si>
    <t>Bandwidth =</t>
  </si>
  <si>
    <t>Efficiency =</t>
  </si>
  <si>
    <t>Loop Area =</t>
  </si>
  <si>
    <t>Radiation Resistance =</t>
  </si>
  <si>
    <t>Total Loss Resistance =</t>
  </si>
  <si>
    <t>Loop Circumference =</t>
  </si>
  <si>
    <t>Loop Inductance =</t>
  </si>
  <si>
    <t>Distributed Capacitance =</t>
  </si>
  <si>
    <t>Q (Quality Factor) =</t>
  </si>
  <si>
    <t>Tuning Capacitor =</t>
  </si>
  <si>
    <t>Capacitor Voltage =</t>
  </si>
  <si>
    <t>Minimum Plate Spacing =</t>
  </si>
  <si>
    <t>by Steve Yates</t>
  </si>
  <si>
    <t>AA5TB</t>
  </si>
  <si>
    <t>Notes:</t>
  </si>
  <si>
    <r>
      <t xml:space="preserve">1. To truly be considered a small loop, the </t>
    </r>
    <r>
      <rPr>
        <b/>
        <sz val="10"/>
        <rFont val="Arial"/>
        <family val="2"/>
      </rPr>
      <t>Loop Circumference</t>
    </r>
    <r>
      <rPr>
        <sz val="10"/>
        <rFont val="Arial"/>
        <family val="2"/>
      </rPr>
      <t xml:space="preserve"> should be less </t>
    </r>
  </si>
  <si>
    <r>
      <t xml:space="preserve">    Loss Resistance</t>
    </r>
    <r>
      <rPr>
        <sz val="10"/>
        <rFont val="Arial"/>
        <family val="2"/>
      </rPr>
      <t xml:space="preserve"> box.</t>
    </r>
  </si>
  <si>
    <r>
      <t xml:space="preserve">2. To see the effects of bad joints, etc., input realistic values into the </t>
    </r>
    <r>
      <rPr>
        <b/>
        <sz val="10"/>
        <rFont val="Arial"/>
        <family val="2"/>
      </rPr>
      <t xml:space="preserve">Added  </t>
    </r>
  </si>
  <si>
    <t xml:space="preserve">    then 10 % λ.  Larger loops will have greater efficiency but smaller nulls. </t>
  </si>
  <si>
    <t>Design Frequency =</t>
  </si>
  <si>
    <t>Loop Diameter =</t>
  </si>
  <si>
    <t>Conductor Diameter =</t>
  </si>
  <si>
    <t>Added Loss Resistance =</t>
  </si>
  <si>
    <t xml:space="preserve">RF Power = </t>
  </si>
  <si>
    <t>Frequency</t>
  </si>
  <si>
    <t>Radiation</t>
  </si>
  <si>
    <t>Resistance</t>
  </si>
  <si>
    <t>Loss</t>
  </si>
  <si>
    <t>Total Loss</t>
  </si>
  <si>
    <t>Efficiency</t>
  </si>
  <si>
    <t>Quality</t>
  </si>
  <si>
    <t>Factor</t>
  </si>
  <si>
    <t>Bandwidth</t>
  </si>
  <si>
    <t>Capacitor</t>
  </si>
  <si>
    <t>Potential</t>
  </si>
  <si>
    <t>Spacing</t>
  </si>
  <si>
    <t>Minimum</t>
  </si>
  <si>
    <t>Wavelength</t>
  </si>
  <si>
    <t>Circumference</t>
  </si>
  <si>
    <t>Inductive</t>
  </si>
  <si>
    <t>Reactance</t>
  </si>
  <si>
    <t>Tuning</t>
  </si>
  <si>
    <r>
      <t>R</t>
    </r>
    <r>
      <rPr>
        <b/>
        <sz val="8"/>
        <rFont val="Arial"/>
        <family val="2"/>
      </rPr>
      <t>R</t>
    </r>
  </si>
  <si>
    <r>
      <t>R</t>
    </r>
    <r>
      <rPr>
        <b/>
        <sz val="8"/>
        <rFont val="Arial"/>
        <family val="2"/>
      </rPr>
      <t>L</t>
    </r>
  </si>
  <si>
    <r>
      <t>R</t>
    </r>
    <r>
      <rPr>
        <b/>
        <sz val="8"/>
        <rFont val="Arial"/>
        <family val="2"/>
      </rPr>
      <t>T</t>
    </r>
  </si>
  <si>
    <t>η</t>
  </si>
  <si>
    <r>
      <t>X</t>
    </r>
    <r>
      <rPr>
        <b/>
        <sz val="8"/>
        <rFont val="Arial"/>
        <family val="2"/>
      </rPr>
      <t>L</t>
    </r>
  </si>
  <si>
    <r>
      <t>C</t>
    </r>
    <r>
      <rPr>
        <b/>
        <sz val="8"/>
        <rFont val="Arial"/>
        <family val="2"/>
      </rPr>
      <t>T</t>
    </r>
  </si>
  <si>
    <t>Q</t>
  </si>
  <si>
    <r>
      <t>Δ</t>
    </r>
    <r>
      <rPr>
        <b/>
        <sz val="10"/>
        <rFont val="Arial"/>
        <family val="2"/>
      </rPr>
      <t>F</t>
    </r>
  </si>
  <si>
    <r>
      <t>V</t>
    </r>
    <r>
      <rPr>
        <b/>
        <sz val="8"/>
        <rFont val="Arial"/>
        <family val="2"/>
      </rPr>
      <t>C</t>
    </r>
  </si>
  <si>
    <r>
      <t>P</t>
    </r>
    <r>
      <rPr>
        <b/>
        <sz val="8"/>
        <rFont val="Arial"/>
        <family val="2"/>
      </rPr>
      <t>S</t>
    </r>
  </si>
  <si>
    <t>λ</t>
  </si>
  <si>
    <r>
      <t>Radiation Resistance, Ohms: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= (3.38×10↑-8)(f²A)²</t>
    </r>
  </si>
  <si>
    <r>
      <t>Loss Resistance, Ohms: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(9.96×10↑-4)(√f)(S/d)</t>
    </r>
  </si>
  <si>
    <r>
      <t>Efficiency: η =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/(R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+R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</si>
  <si>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Inductance, Henrys: L = (1.9×10↑-8)S[7.353log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(96S/πd)-6.386]</t>
    </r>
  </si>
  <si>
    <r>
      <t>Inductive Reactance, Ohms: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2πf(L×10↑6)</t>
    </r>
  </si>
  <si>
    <r>
      <t>Quality Factor: Q = (f×10↑6)/Δf =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/2(R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+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</si>
  <si>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Bandwidth, Hertz: Δf = (f×10↑6)/Q = [(f</t>
    </r>
    <r>
      <rPr>
        <sz val="7.5"/>
        <rFont val="Comic Sans MS"/>
        <family val="4"/>
      </rPr>
      <t>1</t>
    </r>
    <r>
      <rPr>
        <sz val="10"/>
        <rFont val="Comic Sans MS"/>
        <family val="4"/>
      </rPr>
      <t>-f</t>
    </r>
    <r>
      <rPr>
        <sz val="7.5"/>
        <rFont val="Comic Sans MS"/>
        <family val="4"/>
      </rPr>
      <t>2</t>
    </r>
    <r>
      <rPr>
        <sz val="10"/>
        <rFont val="Comic Sans MS"/>
        <family val="4"/>
      </rPr>
      <t>)×10↑6]</t>
    </r>
  </si>
  <si>
    <r>
      <t>Distributed Capacity: pF: C</t>
    </r>
    <r>
      <rPr>
        <sz val="7.5"/>
        <rFont val="Comic Sans MS"/>
        <family val="4"/>
      </rPr>
      <t>D</t>
    </r>
    <r>
      <rPr>
        <sz val="10"/>
        <rFont val="Comic Sans MS"/>
        <family val="4"/>
      </rPr>
      <t xml:space="preserve"> = 0.82S</t>
    </r>
  </si>
  <si>
    <r>
      <t>Capacitor Potential, Volts: V</t>
    </r>
    <r>
      <rPr>
        <sz val="7.5"/>
        <rFont val="Comic Sans MS"/>
        <family val="4"/>
      </rPr>
      <t>C</t>
    </r>
    <r>
      <rPr>
        <sz val="10"/>
        <rFont val="Comic Sans MS"/>
        <family val="4"/>
      </rPr>
      <t xml:space="preserve"> = √(PX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Q)</t>
    </r>
  </si>
  <si>
    <t>Capacitor Voltage Rating: 75,000V/in</t>
  </si>
  <si>
    <t xml:space="preserve">where </t>
  </si>
  <si>
    <t>f = operating frequency, MHz</t>
  </si>
  <si>
    <t>A = area of loop, square feet</t>
  </si>
  <si>
    <t>S = conductor length, feet</t>
  </si>
  <si>
    <t>d = conductor diameter, inches</t>
  </si>
  <si>
    <r>
      <t>η = decimal value; dB = 10 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η</t>
    </r>
  </si>
  <si>
    <t>P = transmitter power, Watts</t>
  </si>
  <si>
    <t xml:space="preserve">(circular loop assumed, results may vary with other shapes) </t>
  </si>
  <si>
    <t>Small Loop Equations for a Copper Loop</t>
  </si>
  <si>
    <t>Wavelength Percentage =</t>
  </si>
  <si>
    <t>kHz (-3 dB points)</t>
  </si>
  <si>
    <t>Publication No. 15, p. 5-14, Table 4, 1988</t>
  </si>
  <si>
    <t xml:space="preserve">Ref. </t>
  </si>
  <si>
    <t xml:space="preserve">Small High Efficiency Loop Antennas for Transmitting,  </t>
  </si>
  <si>
    <t xml:space="preserve">The American Radio Relay League, The ARRL Antenna Handbook, </t>
  </si>
  <si>
    <r>
      <t>Tuning Capacitor, Farads: C</t>
    </r>
    <r>
      <rPr>
        <sz val="7.5"/>
        <rFont val="Comic Sans MS"/>
        <family val="4"/>
      </rPr>
      <t>T</t>
    </r>
    <r>
      <rPr>
        <sz val="10"/>
        <rFont val="Comic Sans MS"/>
        <family val="4"/>
      </rPr>
      <t xml:space="preserve"> = 1/2πf(X</t>
    </r>
    <r>
      <rPr>
        <sz val="8"/>
        <rFont val="Comic Sans MS"/>
        <family val="4"/>
      </rPr>
      <t>L</t>
    </r>
    <r>
      <rPr>
        <sz val="10"/>
        <rFont val="Comic Sans MS"/>
        <family val="4"/>
      </rPr>
      <t>×10↑6)</t>
    </r>
  </si>
  <si>
    <t>4. This application is free to use as you wish.  If you modify it and pass it on all</t>
  </si>
  <si>
    <r>
      <t xml:space="preserve">    </t>
    </r>
    <r>
      <rPr>
        <sz val="10"/>
        <rFont val="Arial"/>
        <family val="2"/>
      </rPr>
      <t>that I ask is that you give me credit for my part of the work. Thanks!</t>
    </r>
  </si>
  <si>
    <t>3. The sheets are protected to prevent the user that is unfamiliar with Excel from</t>
  </si>
  <si>
    <r>
      <t xml:space="preserve">    accidentally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corrupting formulas.  To unlock the sheets use the password </t>
    </r>
    <r>
      <rPr>
        <b/>
        <sz val="10"/>
        <rFont val="Arial"/>
        <family val="2"/>
      </rPr>
      <t>aa5tb</t>
    </r>
    <r>
      <rPr>
        <sz val="10"/>
        <rFont val="Arial"/>
        <family val="2"/>
      </rPr>
      <t>.</t>
    </r>
  </si>
  <si>
    <t>aa5tb@yahoo.com</t>
  </si>
  <si>
    <t>Updated April 28, 2009</t>
  </si>
  <si>
    <t>Small Magnetic Loop Antenna Calculator ver. 1.22a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</si>
</sst>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0000"/>
    <numFmt numFmtId="176" formatCode="0.000000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.25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name val="Comic Sans MS"/>
      <family val="4"/>
    </font>
    <font>
      <sz val="7.5"/>
      <name val="Comic Sans MS"/>
      <family val="4"/>
    </font>
    <font>
      <i/>
      <sz val="10"/>
      <name val="Comic Sans MS"/>
      <family val="4"/>
    </font>
    <font>
      <i/>
      <sz val="10"/>
      <color indexed="17"/>
      <name val="Comic Sans MS"/>
      <family val="4"/>
    </font>
    <font>
      <b/>
      <sz val="12"/>
      <color indexed="17"/>
      <name val="Arial"/>
      <family val="2"/>
    </font>
    <font>
      <sz val="10"/>
      <color indexed="17"/>
      <name val="Arial"/>
      <family val="0"/>
    </font>
    <font>
      <sz val="10"/>
      <color indexed="17"/>
      <name val="Comic Sans MS"/>
      <family val="4"/>
    </font>
    <font>
      <sz val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70" fontId="2" fillId="3" borderId="4" xfId="0" applyNumberFormat="1" applyFont="1" applyFill="1" applyBorder="1" applyAlignment="1" applyProtection="1">
      <alignment horizontal="right"/>
      <protection/>
    </xf>
    <xf numFmtId="0" fontId="0" fillId="3" borderId="4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170" fontId="2" fillId="3" borderId="6" xfId="0" applyNumberFormat="1" applyFont="1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/>
      <protection/>
    </xf>
    <xf numFmtId="170" fontId="2" fillId="3" borderId="6" xfId="0" applyNumberFormat="1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170" fontId="2" fillId="3" borderId="8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1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2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Alignment="1" applyProtection="1">
      <alignment horizontal="center"/>
      <protection locked="0"/>
    </xf>
    <xf numFmtId="166" fontId="0" fillId="2" borderId="0" xfId="0" applyNumberFormat="1" applyFill="1" applyAlignment="1">
      <alignment/>
    </xf>
    <xf numFmtId="166" fontId="10" fillId="4" borderId="13" xfId="0" applyNumberFormat="1" applyFont="1" applyFill="1" applyBorder="1" applyAlignment="1">
      <alignment/>
    </xf>
    <xf numFmtId="166" fontId="10" fillId="4" borderId="14" xfId="0" applyNumberFormat="1" applyFont="1" applyFill="1" applyBorder="1" applyAlignment="1">
      <alignment/>
    </xf>
    <xf numFmtId="166" fontId="10" fillId="5" borderId="6" xfId="0" applyNumberFormat="1" applyFont="1" applyFill="1" applyBorder="1" applyAlignment="1">
      <alignment/>
    </xf>
    <xf numFmtId="166" fontId="11" fillId="5" borderId="6" xfId="0" applyNumberFormat="1" applyFont="1" applyFill="1" applyBorder="1" applyAlignment="1">
      <alignment/>
    </xf>
    <xf numFmtId="166" fontId="11" fillId="5" borderId="15" xfId="0" applyNumberFormat="1" applyFont="1" applyFill="1" applyBorder="1" applyAlignment="1">
      <alignment/>
    </xf>
    <xf numFmtId="166" fontId="11" fillId="5" borderId="0" xfId="0" applyNumberFormat="1" applyFont="1" applyFill="1" applyBorder="1" applyAlignment="1">
      <alignment/>
    </xf>
    <xf numFmtId="166" fontId="10" fillId="2" borderId="16" xfId="0" applyNumberFormat="1" applyFont="1" applyFill="1" applyBorder="1" applyAlignment="1">
      <alignment horizontal="center"/>
    </xf>
    <xf numFmtId="166" fontId="10" fillId="2" borderId="9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10" fillId="2" borderId="10" xfId="0" applyNumberFormat="1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/>
    </xf>
    <xf numFmtId="166" fontId="10" fillId="4" borderId="11" xfId="0" applyNumberFormat="1" applyFont="1" applyFill="1" applyBorder="1" applyAlignment="1">
      <alignment/>
    </xf>
    <xf numFmtId="166" fontId="11" fillId="5" borderId="11" xfId="0" applyNumberFormat="1" applyFont="1" applyFill="1" applyBorder="1" applyAlignment="1">
      <alignment/>
    </xf>
    <xf numFmtId="166" fontId="10" fillId="5" borderId="11" xfId="0" applyNumberFormat="1" applyFont="1" applyFill="1" applyBorder="1" applyAlignment="1">
      <alignment/>
    </xf>
    <xf numFmtId="166" fontId="10" fillId="5" borderId="18" xfId="0" applyNumberFormat="1" applyFont="1" applyFill="1" applyBorder="1" applyAlignment="1">
      <alignment/>
    </xf>
    <xf numFmtId="166" fontId="10" fillId="5" borderId="19" xfId="0" applyNumberFormat="1" applyFont="1" applyFill="1" applyBorder="1" applyAlignment="1">
      <alignment/>
    </xf>
    <xf numFmtId="166" fontId="11" fillId="5" borderId="19" xfId="0" applyNumberFormat="1" applyFont="1" applyFill="1" applyBorder="1" applyAlignment="1">
      <alignment/>
    </xf>
    <xf numFmtId="166" fontId="11" fillId="5" borderId="18" xfId="0" applyNumberFormat="1" applyFont="1" applyFill="1" applyBorder="1" applyAlignment="1">
      <alignment/>
    </xf>
    <xf numFmtId="166" fontId="11" fillId="5" borderId="17" xfId="0" applyNumberFormat="1" applyFont="1" applyFill="1" applyBorder="1" applyAlignment="1">
      <alignment/>
    </xf>
    <xf numFmtId="166" fontId="10" fillId="5" borderId="17" xfId="0" applyNumberFormat="1" applyFont="1" applyFill="1" applyBorder="1" applyAlignment="1">
      <alignment/>
    </xf>
    <xf numFmtId="166" fontId="10" fillId="2" borderId="20" xfId="0" applyNumberFormat="1" applyFont="1" applyFill="1" applyBorder="1" applyAlignment="1">
      <alignment horizontal="center"/>
    </xf>
    <xf numFmtId="166" fontId="10" fillId="4" borderId="15" xfId="0" applyNumberFormat="1" applyFont="1" applyFill="1" applyBorder="1" applyAlignment="1">
      <alignment/>
    </xf>
    <xf numFmtId="166" fontId="10" fillId="4" borderId="6" xfId="0" applyNumberFormat="1" applyFont="1" applyFill="1" applyBorder="1" applyAlignment="1">
      <alignment/>
    </xf>
    <xf numFmtId="166" fontId="10" fillId="5" borderId="21" xfId="0" applyNumberFormat="1" applyFont="1" applyFill="1" applyBorder="1" applyAlignment="1">
      <alignment/>
    </xf>
    <xf numFmtId="166" fontId="10" fillId="5" borderId="0" xfId="0" applyNumberFormat="1" applyFont="1" applyFill="1" applyBorder="1" applyAlignment="1">
      <alignment/>
    </xf>
    <xf numFmtId="166" fontId="10" fillId="5" borderId="15" xfId="0" applyNumberFormat="1" applyFont="1" applyFill="1" applyBorder="1" applyAlignment="1">
      <alignment/>
    </xf>
    <xf numFmtId="166" fontId="11" fillId="5" borderId="21" xfId="0" applyNumberFormat="1" applyFont="1" applyFill="1" applyBorder="1" applyAlignment="1">
      <alignment/>
    </xf>
    <xf numFmtId="166" fontId="10" fillId="4" borderId="21" xfId="0" applyNumberFormat="1" applyFont="1" applyFill="1" applyBorder="1" applyAlignment="1">
      <alignment/>
    </xf>
    <xf numFmtId="166" fontId="2" fillId="2" borderId="19" xfId="0" applyNumberFormat="1" applyFont="1" applyFill="1" applyBorder="1" applyAlignment="1">
      <alignment horizontal="center"/>
    </xf>
    <xf numFmtId="166" fontId="10" fillId="5" borderId="20" xfId="0" applyNumberFormat="1" applyFont="1" applyFill="1" applyBorder="1" applyAlignment="1">
      <alignment/>
    </xf>
    <xf numFmtId="166" fontId="10" fillId="5" borderId="13" xfId="0" applyNumberFormat="1" applyFont="1" applyFill="1" applyBorder="1" applyAlignment="1">
      <alignment/>
    </xf>
    <xf numFmtId="166" fontId="11" fillId="5" borderId="20" xfId="0" applyNumberFormat="1" applyFont="1" applyFill="1" applyBorder="1" applyAlignment="1">
      <alignment/>
    </xf>
    <xf numFmtId="166" fontId="10" fillId="2" borderId="17" xfId="0" applyNumberFormat="1" applyFont="1" applyFill="1" applyBorder="1" applyAlignment="1">
      <alignment horizontal="center"/>
    </xf>
    <xf numFmtId="166" fontId="10" fillId="2" borderId="19" xfId="0" applyNumberFormat="1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11" fillId="2" borderId="9" xfId="0" applyNumberFormat="1" applyFont="1" applyFill="1" applyBorder="1" applyAlignment="1">
      <alignment horizontal="center"/>
    </xf>
    <xf numFmtId="166" fontId="10" fillId="2" borderId="18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/>
    </xf>
    <xf numFmtId="166" fontId="7" fillId="2" borderId="12" xfId="0" applyNumberFormat="1" applyFont="1" applyFill="1" applyBorder="1" applyAlignment="1">
      <alignment horizontal="right"/>
    </xf>
    <xf numFmtId="1" fontId="10" fillId="4" borderId="6" xfId="0" applyNumberFormat="1" applyFont="1" applyFill="1" applyBorder="1" applyAlignment="1">
      <alignment/>
    </xf>
    <xf numFmtId="176" fontId="10" fillId="4" borderId="17" xfId="0" applyNumberFormat="1" applyFont="1" applyFill="1" applyBorder="1" applyAlignment="1">
      <alignment/>
    </xf>
    <xf numFmtId="166" fontId="10" fillId="4" borderId="16" xfId="0" applyNumberFormat="1" applyFont="1" applyFill="1" applyBorder="1" applyAlignment="1">
      <alignment horizontal="center"/>
    </xf>
    <xf numFmtId="166" fontId="10" fillId="4" borderId="9" xfId="0" applyNumberFormat="1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10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right"/>
    </xf>
    <xf numFmtId="166" fontId="9" fillId="4" borderId="9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170" fontId="2" fillId="3" borderId="21" xfId="0" applyNumberFormat="1" applyFont="1" applyFill="1" applyBorder="1" applyAlignment="1" applyProtection="1">
      <alignment/>
      <protection/>
    </xf>
    <xf numFmtId="0" fontId="10" fillId="3" borderId="7" xfId="0" applyFont="1" applyFill="1" applyBorder="1" applyAlignment="1">
      <alignment/>
    </xf>
    <xf numFmtId="170" fontId="11" fillId="3" borderId="6" xfId="0" applyNumberFormat="1" applyFont="1" applyFill="1" applyBorder="1" applyAlignment="1">
      <alignment/>
    </xf>
    <xf numFmtId="0" fontId="0" fillId="3" borderId="25" xfId="0" applyFill="1" applyBorder="1" applyAlignment="1" applyProtection="1">
      <alignment horizontal="left"/>
      <protection/>
    </xf>
    <xf numFmtId="170" fontId="2" fillId="3" borderId="8" xfId="0" applyNumberFormat="1" applyFont="1" applyFill="1" applyBorder="1" applyAlignment="1" applyProtection="1">
      <alignment/>
      <protection/>
    </xf>
    <xf numFmtId="166" fontId="11" fillId="5" borderId="13" xfId="0" applyNumberFormat="1" applyFont="1" applyFill="1" applyBorder="1" applyAlignment="1">
      <alignment/>
    </xf>
    <xf numFmtId="170" fontId="2" fillId="4" borderId="4" xfId="0" applyNumberFormat="1" applyFont="1" applyFill="1" applyBorder="1" applyAlignment="1" applyProtection="1">
      <alignment horizontal="right"/>
      <protection locked="0"/>
    </xf>
    <xf numFmtId="170" fontId="2" fillId="4" borderId="6" xfId="0" applyNumberFormat="1" applyFont="1" applyFill="1" applyBorder="1" applyAlignment="1" applyProtection="1">
      <alignment horizontal="right"/>
      <protection locked="0"/>
    </xf>
    <xf numFmtId="170" fontId="2" fillId="4" borderId="21" xfId="0" applyNumberFormat="1" applyFont="1" applyFill="1" applyBorder="1" applyAlignment="1" applyProtection="1">
      <alignment horizontal="right"/>
      <protection locked="0"/>
    </xf>
    <xf numFmtId="170" fontId="2" fillId="4" borderId="8" xfId="0" applyNumberFormat="1" applyFont="1" applyFill="1" applyBorder="1" applyAlignment="1" applyProtection="1">
      <alignment horizontal="right"/>
      <protection locked="0"/>
    </xf>
    <xf numFmtId="170" fontId="2" fillId="2" borderId="6" xfId="0" applyNumberFormat="1" applyFont="1" applyFill="1" applyBorder="1" applyAlignment="1" applyProtection="1">
      <alignment/>
      <protection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0" fillId="2" borderId="0" xfId="0" applyFont="1" applyFill="1" applyAlignment="1" applyProtection="1">
      <alignment/>
      <protection locked="0"/>
    </xf>
    <xf numFmtId="0" fontId="2" fillId="2" borderId="26" xfId="0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 Performance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Calc1!$E$31</c:f>
              <c:strCache>
                <c:ptCount val="1"/>
                <c:pt idx="0">
                  <c:v>dB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Calc1!$A$32:$A$61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Calc1!$E$32:$E$61</c:f>
              <c:numCache>
                <c:ptCount val="30"/>
                <c:pt idx="0">
                  <c:v>-27.69572356583266</c:v>
                </c:pt>
                <c:pt idx="1">
                  <c:v>-17.23515637960878</c:v>
                </c:pt>
                <c:pt idx="2">
                  <c:v>-11.321850645696205</c:v>
                </c:pt>
                <c:pt idx="3">
                  <c:v>-7.472564672740932</c:v>
                </c:pt>
                <c:pt idx="4">
                  <c:v>-4.9151016509129475</c:v>
                </c:pt>
                <c:pt idx="5">
                  <c:v>-3.2427251737559173</c:v>
                </c:pt>
                <c:pt idx="6">
                  <c:v>-2.1672740202701704</c:v>
                </c:pt>
                <c:pt idx="7">
                  <c:v>-1.478388276725406</c:v>
                </c:pt>
                <c:pt idx="8">
                  <c:v>-1.0329902129563897</c:v>
                </c:pt>
                <c:pt idx="9">
                  <c:v>-0.7397819661547236</c:v>
                </c:pt>
                <c:pt idx="10">
                  <c:v>-0.5424252157793864</c:v>
                </c:pt>
                <c:pt idx="11">
                  <c:v>-0.4064458023429876</c:v>
                </c:pt>
                <c:pt idx="12">
                  <c:v>-0.3105945046957399</c:v>
                </c:pt>
                <c:pt idx="13">
                  <c:v>-0.2415657609621027</c:v>
                </c:pt>
                <c:pt idx="14">
                  <c:v>-0.19086236504144882</c:v>
                </c:pt>
                <c:pt idx="15">
                  <c:v>-0.15294252917441026</c:v>
                </c:pt>
                <c:pt idx="16">
                  <c:v>-0.12411549293958253</c:v>
                </c:pt>
                <c:pt idx="17">
                  <c:v>-0.10187330253292587</c:v>
                </c:pt>
                <c:pt idx="18">
                  <c:v>-0.08447911761242732</c:v>
                </c:pt>
                <c:pt idx="19">
                  <c:v>-0.07070865251186274</c:v>
                </c:pt>
                <c:pt idx="20">
                  <c:v>-0.05968464209184488</c:v>
                </c:pt>
                <c:pt idx="21">
                  <c:v>-0.05076886754714971</c:v>
                </c:pt>
                <c:pt idx="22">
                  <c:v>-0.04349046102485149</c:v>
                </c:pt>
                <c:pt idx="23">
                  <c:v>-0.037497490668197284</c:v>
                </c:pt>
                <c:pt idx="24">
                  <c:v>-0.03252374465811066</c:v>
                </c:pt>
                <c:pt idx="25">
                  <c:v>-0.028365602019664614</c:v>
                </c:pt>
                <c:pt idx="26">
                  <c:v>-0.024865701872836994</c:v>
                </c:pt>
                <c:pt idx="27">
                  <c:v>-0.02190126208300579</c:v>
                </c:pt>
                <c:pt idx="28">
                  <c:v>-0.01937562147021607</c:v>
                </c:pt>
                <c:pt idx="29">
                  <c:v>-0.017212045964292825</c:v>
                </c:pt>
              </c:numCache>
            </c:numRef>
          </c:val>
          <c:smooth val="0"/>
        </c:ser>
        <c:marker val="1"/>
        <c:axId val="37601004"/>
        <c:axId val="2864717"/>
      </c:lineChart>
      <c:lineChart>
        <c:grouping val="standard"/>
        <c:varyColors val="0"/>
        <c:ser>
          <c:idx val="0"/>
          <c:order val="1"/>
          <c:tx>
            <c:strRef>
              <c:f>Calc1!$I$31</c:f>
              <c:strCache>
                <c:ptCount val="1"/>
                <c:pt idx="0">
                  <c:v>kHz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Frequency</c:v>
              </c:pt>
            </c:strLit>
          </c:cat>
          <c:val>
            <c:numRef>
              <c:f>Calc1!$I$32:$I$61</c:f>
              <c:numCache>
                <c:ptCount val="30"/>
                <c:pt idx="0">
                  <c:v>0.5919164698848299</c:v>
                </c:pt>
                <c:pt idx="1">
                  <c:v>0.8517726446997194</c:v>
                </c:pt>
                <c:pt idx="2">
                  <c:v>1.1049894997136673</c:v>
                </c:pt>
                <c:pt idx="3">
                  <c:v>1.4394099493381376</c:v>
                </c:pt>
                <c:pt idx="4">
                  <c:v>1.9501959495437828</c:v>
                </c:pt>
                <c:pt idx="5">
                  <c:v>2.7514750976984916</c:v>
                </c:pt>
                <c:pt idx="6">
                  <c:v>3.979308684765171</c:v>
                </c:pt>
                <c:pt idx="7">
                  <c:v>5.792777442495082</c:v>
                </c:pt>
                <c:pt idx="8">
                  <c:v>8.374466058276843</c:v>
                </c:pt>
                <c:pt idx="9">
                  <c:v>11.930709308996883</c:v>
                </c:pt>
                <c:pt idx="10">
                  <c:v>16.69172918447867</c:v>
                </c:pt>
                <c:pt idx="11">
                  <c:v>22.911716774474026</c:v>
                </c:pt>
                <c:pt idx="12">
                  <c:v>30.86888390056951</c:v>
                </c:pt>
                <c:pt idx="13">
                  <c:v>40.86549712786978</c:v>
                </c:pt>
                <c:pt idx="14">
                  <c:v>53.22790099203052</c:v>
                </c:pt>
                <c:pt idx="15">
                  <c:v>68.30653434820658</c:v>
                </c:pt>
                <c:pt idx="16">
                  <c:v>86.47594217870034</c:v>
                </c:pt>
                <c:pt idx="17">
                  <c:v>108.1347843120568</c:v>
                </c:pt>
                <c:pt idx="18">
                  <c:v>133.70584198712166</c:v>
                </c:pt>
                <c:pt idx="19">
                  <c:v>163.63602287938616</c:v>
                </c:pt>
                <c:pt idx="20">
                  <c:v>198.39636500823931</c:v>
                </c:pt>
                <c:pt idx="21">
                  <c:v>238.48203981538148</c:v>
                </c:pt>
                <c:pt idx="22">
                  <c:v>284.41235461966704</c:v>
                </c:pt>
                <c:pt idx="23">
                  <c:v>336.73075459614404</c:v>
                </c:pt>
                <c:pt idx="24">
                  <c:v>396.0048243873721</c:v>
                </c:pt>
                <c:pt idx="25">
                  <c:v>462.8262894272323</c:v>
                </c:pt>
                <c:pt idx="26">
                  <c:v>537.8110170375516</c:v>
                </c:pt>
                <c:pt idx="27">
                  <c:v>621.5990173434453</c:v>
                </c:pt>
                <c:pt idx="28">
                  <c:v>714.854444042722</c:v>
                </c:pt>
                <c:pt idx="29">
                  <c:v>818.265595056808</c:v>
                </c:pt>
              </c:numCache>
            </c:numRef>
          </c:val>
          <c:smooth val="1"/>
        </c:ser>
        <c:marker val="1"/>
        <c:axId val="25782454"/>
        <c:axId val="30715495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(1-30 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At val="-40"/>
        <c:auto val="0"/>
        <c:lblOffset val="100"/>
        <c:tickLblSkip val="2"/>
        <c:noMultiLvlLbl val="0"/>
      </c:catAx>
      <c:valAx>
        <c:axId val="286471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01004"/>
        <c:crossesAt val="1"/>
        <c:crossBetween val="midCat"/>
        <c:dispUnits/>
        <c:majorUnit val="1"/>
      </c:valAx>
      <c:catAx>
        <c:axId val="25782454"/>
        <c:scaling>
          <c:orientation val="minMax"/>
        </c:scaling>
        <c:axPos val="b"/>
        <c:delete val="1"/>
        <c:majorTickMark val="in"/>
        <c:minorTickMark val="none"/>
        <c:tickLblPos val="nextTo"/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Bandwidth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82454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152400</xdr:rowOff>
    </xdr:from>
    <xdr:to>
      <xdr:col>16</xdr:col>
      <xdr:colOff>581025</xdr:colOff>
      <xdr:row>31</xdr:row>
      <xdr:rowOff>95250</xdr:rowOff>
    </xdr:to>
    <xdr:graphicFrame macro="[0]!Chart1_Click">
      <xdr:nvGraphicFramePr>
        <xdr:cNvPr id="1" name="Chart 1"/>
        <xdr:cNvGraphicFramePr/>
      </xdr:nvGraphicFramePr>
      <xdr:xfrm>
        <a:off x="6096000" y="381000"/>
        <a:ext cx="54292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5tb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31" customWidth="1"/>
    <col min="2" max="2" width="24.57421875" style="39" customWidth="1"/>
    <col min="3" max="3" width="12.140625" style="42" customWidth="1"/>
    <col min="4" max="4" width="13.8515625" style="31" bestFit="1" customWidth="1"/>
    <col min="5" max="5" width="8.7109375" style="31" customWidth="1"/>
    <col min="6" max="6" width="4.28125" style="31" bestFit="1" customWidth="1"/>
    <col min="7" max="14" width="9.140625" style="17" customWidth="1"/>
    <col min="15" max="16384" width="9.140625" style="31" customWidth="1"/>
  </cols>
  <sheetData>
    <row r="1" spans="1:6" ht="18">
      <c r="A1" s="17"/>
      <c r="B1" s="25"/>
      <c r="C1" s="26" t="s">
        <v>138</v>
      </c>
      <c r="D1" s="27"/>
      <c r="E1" s="17"/>
      <c r="F1" s="17"/>
    </row>
    <row r="2" spans="1:6" ht="12.75">
      <c r="A2" s="17"/>
      <c r="B2" s="18"/>
      <c r="C2" s="28" t="s">
        <v>65</v>
      </c>
      <c r="D2" s="17"/>
      <c r="E2" s="17"/>
      <c r="F2" s="17"/>
    </row>
    <row r="3" spans="1:6" ht="12.75">
      <c r="A3" s="17"/>
      <c r="B3" s="18"/>
      <c r="C3" s="28" t="s">
        <v>66</v>
      </c>
      <c r="D3" s="17"/>
      <c r="E3" s="17"/>
      <c r="F3" s="17"/>
    </row>
    <row r="4" spans="1:6" ht="12.75">
      <c r="A4" s="17"/>
      <c r="B4" s="18"/>
      <c r="C4" s="40" t="s">
        <v>136</v>
      </c>
      <c r="D4" s="17"/>
      <c r="E4" s="17"/>
      <c r="F4" s="17"/>
    </row>
    <row r="5" spans="1:6" ht="12.75">
      <c r="A5" s="17"/>
      <c r="B5" s="18"/>
      <c r="C5" s="44" t="s">
        <v>137</v>
      </c>
      <c r="D5" s="17"/>
      <c r="E5" s="17"/>
      <c r="F5" s="17"/>
    </row>
    <row r="6" spans="1:6" ht="12.75">
      <c r="A6" s="17"/>
      <c r="B6" s="18"/>
      <c r="C6" s="43"/>
      <c r="D6" s="17"/>
      <c r="E6" s="17"/>
      <c r="F6" s="17"/>
    </row>
    <row r="7" spans="1:6" ht="12.75">
      <c r="A7" s="17"/>
      <c r="B7" s="17" t="s">
        <v>0</v>
      </c>
      <c r="C7" s="19"/>
      <c r="D7" s="17"/>
      <c r="E7" s="17"/>
      <c r="F7" s="17"/>
    </row>
    <row r="8" spans="1:6" ht="13.5" thickBot="1">
      <c r="A8" s="17"/>
      <c r="B8" s="17"/>
      <c r="C8" s="19"/>
      <c r="D8" s="101"/>
      <c r="E8" s="101"/>
      <c r="F8" s="101"/>
    </row>
    <row r="9" spans="1:6" ht="12.75">
      <c r="A9" s="17"/>
      <c r="B9" s="2" t="s">
        <v>72</v>
      </c>
      <c r="C9" s="115">
        <v>7.03</v>
      </c>
      <c r="D9" s="106" t="s">
        <v>1</v>
      </c>
      <c r="E9" s="106"/>
      <c r="F9" s="102"/>
    </row>
    <row r="10" spans="1:6" ht="12.75">
      <c r="A10" s="17"/>
      <c r="B10" s="3" t="s">
        <v>73</v>
      </c>
      <c r="C10" s="116">
        <v>4.4</v>
      </c>
      <c r="D10" s="99" t="s">
        <v>2</v>
      </c>
      <c r="E10" s="119">
        <f>0.3048*C10</f>
        <v>1.34112</v>
      </c>
      <c r="F10" s="103" t="s">
        <v>27</v>
      </c>
    </row>
    <row r="11" spans="1:6" ht="12.75">
      <c r="A11" s="17"/>
      <c r="B11" s="3" t="s">
        <v>74</v>
      </c>
      <c r="C11" s="116">
        <v>3</v>
      </c>
      <c r="D11" s="99" t="s">
        <v>3</v>
      </c>
      <c r="E11" s="119">
        <f>25.4*C11</f>
        <v>76.19999999999999</v>
      </c>
      <c r="F11" s="103" t="s">
        <v>48</v>
      </c>
    </row>
    <row r="12" spans="1:6" ht="12.75">
      <c r="A12" s="17"/>
      <c r="B12" s="123" t="s">
        <v>75</v>
      </c>
      <c r="C12" s="117">
        <v>0</v>
      </c>
      <c r="D12" s="23" t="s">
        <v>11</v>
      </c>
      <c r="E12" s="99"/>
      <c r="F12" s="104"/>
    </row>
    <row r="13" spans="1:6" ht="13.5" thickBot="1">
      <c r="A13" s="17"/>
      <c r="B13" s="4" t="s">
        <v>76</v>
      </c>
      <c r="C13" s="118">
        <v>5</v>
      </c>
      <c r="D13" s="100" t="s">
        <v>4</v>
      </c>
      <c r="E13" s="100"/>
      <c r="F13" s="105"/>
    </row>
    <row r="14" spans="1:6" ht="12.75">
      <c r="A14" s="17"/>
      <c r="B14" s="18"/>
      <c r="C14" s="19"/>
      <c r="D14" s="17"/>
      <c r="E14" s="17"/>
      <c r="F14" s="17"/>
    </row>
    <row r="15" spans="1:6" ht="12.75">
      <c r="A15" s="17"/>
      <c r="B15" s="21" t="s">
        <v>13</v>
      </c>
      <c r="C15" s="19"/>
      <c r="D15" s="17"/>
      <c r="E15" s="17"/>
      <c r="F15" s="17"/>
    </row>
    <row r="16" spans="1:6" ht="13.5" thickBot="1">
      <c r="A16" s="17"/>
      <c r="B16" s="18"/>
      <c r="C16" s="19"/>
      <c r="D16" s="17"/>
      <c r="E16" s="17"/>
      <c r="F16" s="17"/>
    </row>
    <row r="17" spans="1:6" ht="12.75">
      <c r="A17" s="17"/>
      <c r="B17" s="2" t="s">
        <v>53</v>
      </c>
      <c r="C17" s="5">
        <f>Calc1!D21</f>
        <v>4.024337803660888</v>
      </c>
      <c r="D17" s="6" t="s">
        <v>126</v>
      </c>
      <c r="E17" s="7"/>
      <c r="F17" s="8"/>
    </row>
    <row r="18" spans="1:6" ht="12.75">
      <c r="A18" s="17"/>
      <c r="B18" s="3" t="s">
        <v>54</v>
      </c>
      <c r="C18" s="9">
        <f>Calc1!D16</f>
        <v>61.0681747109029</v>
      </c>
      <c r="D18" s="10" t="s">
        <v>7</v>
      </c>
      <c r="E18" s="11">
        <f>Calc1!F16</f>
        <v>-2.1418506059737945</v>
      </c>
      <c r="F18" s="12" t="s">
        <v>52</v>
      </c>
    </row>
    <row r="19" spans="1:6" ht="12.75">
      <c r="A19" s="17"/>
      <c r="B19" s="3" t="s">
        <v>55</v>
      </c>
      <c r="C19" s="9">
        <f>Calc1!B12</f>
        <v>15.205308443374602</v>
      </c>
      <c r="D19" s="10" t="s">
        <v>5</v>
      </c>
      <c r="E19" s="11">
        <f>Calc1!D12</f>
        <v>1.4126193785271683</v>
      </c>
      <c r="F19" s="12" t="s">
        <v>28</v>
      </c>
    </row>
    <row r="20" spans="1:6" ht="12.75">
      <c r="A20" s="17"/>
      <c r="B20" s="3" t="s">
        <v>56</v>
      </c>
      <c r="C20" s="11">
        <f>Calc1!D13</f>
        <v>19.086595472941386</v>
      </c>
      <c r="D20" s="10" t="s">
        <v>12</v>
      </c>
      <c r="E20" s="107"/>
      <c r="F20" s="108"/>
    </row>
    <row r="21" spans="1:6" ht="12.75">
      <c r="A21" s="17"/>
      <c r="B21" s="3" t="s">
        <v>57</v>
      </c>
      <c r="C21" s="11">
        <f>Calc1!D15</f>
        <v>12.167974625636864</v>
      </c>
      <c r="D21" s="10" t="s">
        <v>12</v>
      </c>
      <c r="E21" s="10"/>
      <c r="F21" s="12"/>
    </row>
    <row r="22" spans="1:6" ht="12.75">
      <c r="A22" s="17"/>
      <c r="B22" s="3" t="s">
        <v>58</v>
      </c>
      <c r="C22" s="9">
        <f>Calc1!B11</f>
        <v>13.823007675795091</v>
      </c>
      <c r="D22" s="10" t="s">
        <v>6</v>
      </c>
      <c r="E22" s="111">
        <f>0.3048*C22</f>
        <v>4.2132527395823445</v>
      </c>
      <c r="F22" s="110" t="s">
        <v>27</v>
      </c>
    </row>
    <row r="23" spans="1:6" ht="12.75">
      <c r="A23" s="17"/>
      <c r="B23" s="3" t="s">
        <v>125</v>
      </c>
      <c r="C23" s="11">
        <f>Calc1!B26</f>
        <v>9.879872698583316</v>
      </c>
      <c r="D23" s="10" t="s">
        <v>51</v>
      </c>
      <c r="E23" s="11"/>
      <c r="F23" s="12"/>
    </row>
    <row r="24" spans="1:6" ht="12.75">
      <c r="A24" s="17"/>
      <c r="B24" s="3" t="s">
        <v>59</v>
      </c>
      <c r="C24" s="9">
        <f>Calc1!D17</f>
        <v>2.4721181809716875</v>
      </c>
      <c r="D24" s="14" t="s">
        <v>36</v>
      </c>
      <c r="E24" s="109"/>
      <c r="F24" s="12"/>
    </row>
    <row r="25" spans="1:6" ht="12.75">
      <c r="A25" s="17"/>
      <c r="B25" s="3" t="s">
        <v>60</v>
      </c>
      <c r="C25" s="9">
        <f>Calc1!B22</f>
        <v>11.334866294151974</v>
      </c>
      <c r="D25" s="10" t="s">
        <v>8</v>
      </c>
      <c r="E25" s="11"/>
      <c r="F25" s="12"/>
    </row>
    <row r="26" spans="1:6" ht="12.75">
      <c r="A26" s="17"/>
      <c r="B26" s="3" t="s">
        <v>61</v>
      </c>
      <c r="C26" s="9">
        <f>Calc1!B20</f>
        <v>1746.8712476385306</v>
      </c>
      <c r="D26" s="10"/>
      <c r="E26" s="13"/>
      <c r="F26" s="12"/>
    </row>
    <row r="27" spans="1:6" ht="12.75">
      <c r="A27" s="17"/>
      <c r="B27" s="3" t="s">
        <v>62</v>
      </c>
      <c r="C27" s="9">
        <f>Calc1!D19</f>
        <v>207.32915833311162</v>
      </c>
      <c r="D27" s="10" t="s">
        <v>8</v>
      </c>
      <c r="E27" s="13"/>
      <c r="F27" s="12"/>
    </row>
    <row r="28" spans="1:6" ht="12.75">
      <c r="A28" s="17"/>
      <c r="B28" s="3" t="s">
        <v>63</v>
      </c>
      <c r="C28" s="9">
        <f>Calc1!B23</f>
        <v>976.6021172705297</v>
      </c>
      <c r="D28" s="10" t="s">
        <v>9</v>
      </c>
      <c r="E28" s="13"/>
      <c r="F28" s="12"/>
    </row>
    <row r="29" spans="1:6" ht="13.5" thickBot="1">
      <c r="A29" s="1"/>
      <c r="B29" s="4" t="s">
        <v>64</v>
      </c>
      <c r="C29" s="15">
        <f>Calc1!D24</f>
        <v>13.021361563607062</v>
      </c>
      <c r="D29" s="16" t="s">
        <v>10</v>
      </c>
      <c r="E29" s="113">
        <f>Calc1!F24</f>
        <v>0.3307425837156194</v>
      </c>
      <c r="F29" s="112" t="s">
        <v>48</v>
      </c>
    </row>
    <row r="30" spans="1:6" ht="12.75">
      <c r="A30" s="17"/>
      <c r="B30" s="18"/>
      <c r="C30" s="19"/>
      <c r="D30" s="17"/>
      <c r="E30" s="17"/>
      <c r="F30" s="17"/>
    </row>
    <row r="31" spans="1:6" ht="12.75">
      <c r="A31" s="17" t="s">
        <v>67</v>
      </c>
      <c r="B31" s="20"/>
      <c r="C31" s="19"/>
      <c r="D31" s="17"/>
      <c r="E31" s="17"/>
      <c r="F31" s="17"/>
    </row>
    <row r="32" spans="1:6" ht="12.75">
      <c r="A32" s="17"/>
      <c r="B32" s="21" t="s">
        <v>68</v>
      </c>
      <c r="C32" s="22"/>
      <c r="D32" s="23"/>
      <c r="E32" s="23"/>
      <c r="F32" s="17"/>
    </row>
    <row r="33" spans="1:6" ht="12.75">
      <c r="A33" s="17"/>
      <c r="B33" s="21" t="s">
        <v>71</v>
      </c>
      <c r="C33" s="22"/>
      <c r="D33" s="23"/>
      <c r="E33" s="23"/>
      <c r="F33" s="17"/>
    </row>
    <row r="34" spans="1:6" ht="12.75">
      <c r="A34" s="17"/>
      <c r="B34" s="21" t="s">
        <v>70</v>
      </c>
      <c r="C34" s="22"/>
      <c r="D34" s="23"/>
      <c r="E34" s="23"/>
      <c r="F34" s="17"/>
    </row>
    <row r="35" spans="1:6" ht="12.75">
      <c r="A35" s="17"/>
      <c r="B35" s="24" t="s">
        <v>69</v>
      </c>
      <c r="C35" s="22"/>
      <c r="D35" s="23"/>
      <c r="E35" s="23"/>
      <c r="F35" s="17"/>
    </row>
    <row r="36" spans="1:6" ht="12.75">
      <c r="A36" s="17"/>
      <c r="B36" s="20" t="s">
        <v>134</v>
      </c>
      <c r="C36" s="19"/>
      <c r="D36" s="17"/>
      <c r="E36" s="17"/>
      <c r="F36" s="17"/>
    </row>
    <row r="37" spans="1:6" ht="12.75">
      <c r="A37" s="1"/>
      <c r="B37" s="124" t="s">
        <v>135</v>
      </c>
      <c r="C37" s="41"/>
      <c r="D37" s="1"/>
      <c r="E37" s="1"/>
      <c r="F37" s="1"/>
    </row>
    <row r="38" spans="1:6" ht="12.75">
      <c r="A38" s="1"/>
      <c r="B38" s="122" t="s">
        <v>132</v>
      </c>
      <c r="C38" s="41"/>
      <c r="D38" s="1"/>
      <c r="E38" s="1"/>
      <c r="F38" s="1"/>
    </row>
    <row r="39" ht="12.75">
      <c r="B39" s="39" t="s">
        <v>133</v>
      </c>
    </row>
  </sheetData>
  <sheetProtection password="C5A0" sheet="1" objects="1" scenarios="1" selectLockedCells="1"/>
  <protectedRanges>
    <protectedRange sqref="C9:C13" name="Range1"/>
  </protectedRanges>
  <hyperlinks>
    <hyperlink ref="C4" r:id="rId1" display="aa5tb@yahoo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7.421875" style="31" bestFit="1" customWidth="1"/>
    <col min="3" max="3" width="59.140625" style="31" bestFit="1" customWidth="1"/>
    <col min="4" max="16384" width="9.140625" style="31" customWidth="1"/>
  </cols>
  <sheetData>
    <row r="1" ht="15.75">
      <c r="C1" s="95" t="s">
        <v>124</v>
      </c>
    </row>
    <row r="2" ht="15">
      <c r="C2" s="96" t="s">
        <v>123</v>
      </c>
    </row>
    <row r="4" ht="15">
      <c r="C4" s="97" t="s">
        <v>106</v>
      </c>
    </row>
    <row r="5" ht="15">
      <c r="C5" s="97" t="s">
        <v>107</v>
      </c>
    </row>
    <row r="6" ht="15">
      <c r="C6" s="97" t="s">
        <v>108</v>
      </c>
    </row>
    <row r="7" ht="15">
      <c r="C7" s="97" t="s">
        <v>109</v>
      </c>
    </row>
    <row r="8" ht="15">
      <c r="C8" s="97" t="s">
        <v>110</v>
      </c>
    </row>
    <row r="9" ht="15">
      <c r="C9" s="97" t="s">
        <v>131</v>
      </c>
    </row>
    <row r="10" ht="15">
      <c r="C10" s="97" t="s">
        <v>111</v>
      </c>
    </row>
    <row r="11" ht="15">
      <c r="C11" s="97" t="s">
        <v>112</v>
      </c>
    </row>
    <row r="12" ht="15">
      <c r="C12" s="97" t="s">
        <v>113</v>
      </c>
    </row>
    <row r="13" ht="15">
      <c r="C13" s="97" t="s">
        <v>114</v>
      </c>
    </row>
    <row r="14" ht="15">
      <c r="C14" s="97" t="s">
        <v>115</v>
      </c>
    </row>
    <row r="16" ht="15">
      <c r="B16" s="98" t="s">
        <v>116</v>
      </c>
    </row>
    <row r="17" ht="15">
      <c r="C17" s="97" t="s">
        <v>117</v>
      </c>
    </row>
    <row r="18" ht="15">
      <c r="C18" s="97" t="s">
        <v>118</v>
      </c>
    </row>
    <row r="19" ht="15">
      <c r="C19" s="97" t="s">
        <v>119</v>
      </c>
    </row>
    <row r="20" ht="15">
      <c r="C20" s="97" t="s">
        <v>120</v>
      </c>
    </row>
    <row r="21" ht="15">
      <c r="C21" s="97" t="s">
        <v>121</v>
      </c>
    </row>
    <row r="22" ht="15">
      <c r="C22" s="97" t="s">
        <v>122</v>
      </c>
    </row>
    <row r="24" spans="1:2" ht="15">
      <c r="A24" s="121" t="s">
        <v>128</v>
      </c>
      <c r="B24" s="120" t="s">
        <v>130</v>
      </c>
    </row>
    <row r="25" ht="15">
      <c r="B25" s="120" t="s">
        <v>129</v>
      </c>
    </row>
    <row r="26" ht="15">
      <c r="B26" s="120" t="s">
        <v>127</v>
      </c>
    </row>
  </sheetData>
  <sheetProtection password="C5A0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1"/>
  <sheetViews>
    <sheetView workbookViewId="0" topLeftCell="A3">
      <selection activeCell="A3" sqref="A3"/>
    </sheetView>
  </sheetViews>
  <sheetFormatPr defaultColWidth="9.140625" defaultRowHeight="12.75"/>
  <cols>
    <col min="1" max="1" width="25.140625" style="31" bestFit="1" customWidth="1"/>
    <col min="2" max="13" width="13.7109375" style="45" customWidth="1"/>
    <col min="14" max="14" width="10.57421875" style="31" bestFit="1" customWidth="1"/>
    <col min="15" max="15" width="12.8515625" style="31" bestFit="1" customWidth="1"/>
    <col min="16" max="16384" width="9.140625" style="31" customWidth="1"/>
  </cols>
  <sheetData>
    <row r="1" ht="12.75">
      <c r="A1" s="36"/>
    </row>
    <row r="2" ht="12.75">
      <c r="A2" s="39" t="s">
        <v>15</v>
      </c>
    </row>
    <row r="3" spans="1:5" ht="12.75">
      <c r="A3" s="35" t="s">
        <v>17</v>
      </c>
      <c r="B3" s="86">
        <f>PI()</f>
        <v>3.141592653589793</v>
      </c>
      <c r="C3" s="67"/>
      <c r="D3" s="68"/>
      <c r="E3" s="46"/>
    </row>
    <row r="4" spans="1:5" ht="12.75">
      <c r="A4" s="33" t="s">
        <v>18</v>
      </c>
      <c r="B4" s="57">
        <f>(Main!C10)*12</f>
        <v>52.800000000000004</v>
      </c>
      <c r="C4" s="68" t="s">
        <v>3</v>
      </c>
      <c r="D4" s="73">
        <f>B4*0.0254</f>
        <v>1.34112</v>
      </c>
      <c r="E4" s="47" t="s">
        <v>27</v>
      </c>
    </row>
    <row r="5" spans="1:5" ht="12.75">
      <c r="A5" s="33" t="s">
        <v>19</v>
      </c>
      <c r="B5" s="57">
        <f>Main!C11</f>
        <v>3</v>
      </c>
      <c r="C5" s="68" t="s">
        <v>3</v>
      </c>
      <c r="D5" s="68">
        <f>B5*0.0254</f>
        <v>0.07619999999999999</v>
      </c>
      <c r="E5" s="46" t="s">
        <v>27</v>
      </c>
    </row>
    <row r="6" spans="1:5" ht="12.75">
      <c r="A6" s="33" t="s">
        <v>29</v>
      </c>
      <c r="B6" s="57">
        <f>Main!C12</f>
        <v>0</v>
      </c>
      <c r="C6" s="68" t="s">
        <v>12</v>
      </c>
      <c r="D6" s="68">
        <f>B6/1000</f>
        <v>0</v>
      </c>
      <c r="E6" s="46" t="s">
        <v>16</v>
      </c>
    </row>
    <row r="7" spans="1:5" ht="12.75">
      <c r="A7" s="33" t="s">
        <v>20</v>
      </c>
      <c r="B7" s="56">
        <f>Main!C13</f>
        <v>5</v>
      </c>
      <c r="C7" s="67" t="s">
        <v>4</v>
      </c>
      <c r="D7" s="68"/>
      <c r="E7" s="46"/>
    </row>
    <row r="8" spans="1:5" ht="12.75">
      <c r="A8" s="33" t="s">
        <v>24</v>
      </c>
      <c r="B8" s="57">
        <f>Main!C9</f>
        <v>7.03</v>
      </c>
      <c r="C8" s="68" t="s">
        <v>1</v>
      </c>
      <c r="D8" s="85">
        <f>B8*1000000</f>
        <v>7030000</v>
      </c>
      <c r="E8" s="46" t="s">
        <v>25</v>
      </c>
    </row>
    <row r="9" spans="1:2" ht="12.75">
      <c r="A9" s="36"/>
      <c r="B9" s="94">
        <f>(96*B11)/(B3*B5)</f>
        <v>140.8</v>
      </c>
    </row>
    <row r="10" ht="12.75">
      <c r="A10" s="39" t="s">
        <v>14</v>
      </c>
    </row>
    <row r="11" spans="1:7" ht="12.75">
      <c r="A11" s="32" t="s">
        <v>21</v>
      </c>
      <c r="B11" s="58">
        <f>(Main!C10*B3)</f>
        <v>13.823007675795091</v>
      </c>
      <c r="C11" s="49" t="s">
        <v>32</v>
      </c>
      <c r="D11" s="48">
        <f>B11*0.3048</f>
        <v>4.2132527395823445</v>
      </c>
      <c r="E11" s="48" t="s">
        <v>27</v>
      </c>
      <c r="F11" s="71"/>
      <c r="G11" s="75"/>
    </row>
    <row r="12" spans="1:7" ht="12.75">
      <c r="A12" s="33" t="s">
        <v>22</v>
      </c>
      <c r="B12" s="58">
        <f>B3*((B4/24)*(B4/24))</f>
        <v>15.205308443374602</v>
      </c>
      <c r="C12" s="49" t="s">
        <v>5</v>
      </c>
      <c r="D12" s="48">
        <f>B12*0.09290304</f>
        <v>1.4126193785271683</v>
      </c>
      <c r="E12" s="48" t="s">
        <v>28</v>
      </c>
      <c r="F12" s="48"/>
      <c r="G12" s="76"/>
    </row>
    <row r="13" spans="1:7" ht="12.75">
      <c r="A13" s="33" t="s">
        <v>26</v>
      </c>
      <c r="B13" s="59">
        <f>(0.0000000338)*(((B8*B8)*B12)*((B8*B8)*B12))</f>
        <v>0.019086595472941385</v>
      </c>
      <c r="C13" s="48" t="s">
        <v>16</v>
      </c>
      <c r="D13" s="49">
        <f>B13*1000</f>
        <v>19.086595472941386</v>
      </c>
      <c r="E13" s="49" t="s">
        <v>12</v>
      </c>
      <c r="F13" s="48"/>
      <c r="G13" s="76"/>
    </row>
    <row r="14" spans="1:7" ht="12.75">
      <c r="A14" s="33" t="s">
        <v>30</v>
      </c>
      <c r="B14" s="59">
        <f>(0.000996)*SQRT(B8)*(B11/B5)</f>
        <v>0.012167974625636863</v>
      </c>
      <c r="C14" s="48" t="s">
        <v>16</v>
      </c>
      <c r="D14" s="49">
        <f>B14*1000</f>
        <v>12.167974625636864</v>
      </c>
      <c r="E14" s="50" t="s">
        <v>12</v>
      </c>
      <c r="F14" s="48"/>
      <c r="G14" s="76"/>
    </row>
    <row r="15" spans="1:7" ht="12.75">
      <c r="A15" s="33" t="s">
        <v>31</v>
      </c>
      <c r="B15" s="60">
        <f>D6+B14</f>
        <v>0.012167974625636863</v>
      </c>
      <c r="C15" s="69" t="s">
        <v>16</v>
      </c>
      <c r="D15" s="72">
        <f>B15*1000</f>
        <v>12.167974625636864</v>
      </c>
      <c r="E15" s="49" t="s">
        <v>12</v>
      </c>
      <c r="F15" s="48"/>
      <c r="G15" s="76"/>
    </row>
    <row r="16" spans="1:7" ht="12.75">
      <c r="A16" s="33" t="s">
        <v>33</v>
      </c>
      <c r="B16" s="61">
        <f>B13/(B13+B15)</f>
        <v>0.610681747109029</v>
      </c>
      <c r="C16" s="70"/>
      <c r="D16" s="51">
        <f>B16*100</f>
        <v>61.0681747109029</v>
      </c>
      <c r="E16" s="51" t="s">
        <v>7</v>
      </c>
      <c r="F16" s="50">
        <f>(LOG10(B16))*10</f>
        <v>-2.1418506059737945</v>
      </c>
      <c r="G16" s="77" t="s">
        <v>52</v>
      </c>
    </row>
    <row r="17" spans="1:7" ht="12.75">
      <c r="A17" s="33" t="s">
        <v>34</v>
      </c>
      <c r="B17" s="59">
        <f>(0.000000019)*B11*((7.353*(LOG(B9,10))-6.386))</f>
        <v>2.4721181809716873E-06</v>
      </c>
      <c r="C17" s="48" t="s">
        <v>35</v>
      </c>
      <c r="D17" s="49">
        <f>B17*1000000</f>
        <v>2.4721181809716875</v>
      </c>
      <c r="E17" s="49" t="s">
        <v>36</v>
      </c>
      <c r="F17" s="48"/>
      <c r="G17" s="76"/>
    </row>
    <row r="18" spans="1:7" ht="12.75">
      <c r="A18" s="33" t="s">
        <v>37</v>
      </c>
      <c r="B18" s="62">
        <f>2*B3*B8*B17*1000000</f>
        <v>109.19541972501861</v>
      </c>
      <c r="C18" s="49" t="s">
        <v>16</v>
      </c>
      <c r="D18" s="48"/>
      <c r="E18" s="48"/>
      <c r="F18" s="48"/>
      <c r="G18" s="76"/>
    </row>
    <row r="19" spans="1:7" ht="12.75">
      <c r="A19" s="33" t="s">
        <v>38</v>
      </c>
      <c r="B19" s="59">
        <f>1/(2*B3*B8*B18*1000000)</f>
        <v>2.0732915833311162E-10</v>
      </c>
      <c r="C19" s="48" t="s">
        <v>39</v>
      </c>
      <c r="D19" s="49">
        <f>B19*1000000000000</f>
        <v>207.32915833311162</v>
      </c>
      <c r="E19" s="49" t="s">
        <v>40</v>
      </c>
      <c r="F19" s="48"/>
      <c r="G19" s="76"/>
    </row>
    <row r="20" spans="1:7" ht="12.75">
      <c r="A20" s="33" t="s">
        <v>41</v>
      </c>
      <c r="B20" s="61">
        <f>B18/(2*(B13+B15))</f>
        <v>1746.8712476385306</v>
      </c>
      <c r="C20" s="48"/>
      <c r="D20" s="48"/>
      <c r="E20" s="48"/>
      <c r="F20" s="48"/>
      <c r="G20" s="76"/>
    </row>
    <row r="21" spans="1:7" ht="12.75">
      <c r="A21" s="33" t="s">
        <v>42</v>
      </c>
      <c r="B21" s="59">
        <f>D8/B20</f>
        <v>4024.3378036608883</v>
      </c>
      <c r="C21" s="48" t="s">
        <v>25</v>
      </c>
      <c r="D21" s="49">
        <f>B21/1000</f>
        <v>4.024337803660888</v>
      </c>
      <c r="E21" s="49" t="s">
        <v>43</v>
      </c>
      <c r="F21" s="48"/>
      <c r="G21" s="76"/>
    </row>
    <row r="22" spans="1:7" ht="12.75">
      <c r="A22" s="33" t="s">
        <v>44</v>
      </c>
      <c r="B22" s="63">
        <f>0.82*B11</f>
        <v>11.334866294151974</v>
      </c>
      <c r="C22" s="51" t="s">
        <v>40</v>
      </c>
      <c r="D22" s="48"/>
      <c r="E22" s="48"/>
      <c r="F22" s="48"/>
      <c r="G22" s="76"/>
    </row>
    <row r="23" spans="1:7" ht="12.75">
      <c r="A23" s="33" t="s">
        <v>45</v>
      </c>
      <c r="B23" s="64">
        <f>SQRT(B7*B18*B20)</f>
        <v>976.6021172705297</v>
      </c>
      <c r="C23" s="49" t="s">
        <v>9</v>
      </c>
      <c r="D23" s="48"/>
      <c r="E23" s="48"/>
      <c r="F23" s="48"/>
      <c r="G23" s="76"/>
    </row>
    <row r="24" spans="1:7" ht="12.75">
      <c r="A24" s="33" t="s">
        <v>46</v>
      </c>
      <c r="B24" s="65">
        <f>B23/75000</f>
        <v>0.013021361563607062</v>
      </c>
      <c r="C24" s="71" t="s">
        <v>23</v>
      </c>
      <c r="D24" s="49">
        <f>B24*1000</f>
        <v>13.021361563607062</v>
      </c>
      <c r="E24" s="49" t="s">
        <v>47</v>
      </c>
      <c r="F24" s="49">
        <f>25.4*B24</f>
        <v>0.3307425837156194</v>
      </c>
      <c r="G24" s="114" t="s">
        <v>48</v>
      </c>
    </row>
    <row r="25" spans="1:7" ht="12.75">
      <c r="A25" s="33" t="s">
        <v>49</v>
      </c>
      <c r="B25" s="59">
        <f>D25*3.28083</f>
        <v>139.91036531863443</v>
      </c>
      <c r="C25" s="48" t="s">
        <v>32</v>
      </c>
      <c r="D25" s="49">
        <f>299793000/D8</f>
        <v>42.6448079658606</v>
      </c>
      <c r="E25" s="49" t="s">
        <v>27</v>
      </c>
      <c r="F25" s="48"/>
      <c r="G25" s="76"/>
    </row>
    <row r="26" spans="1:7" ht="12.75">
      <c r="A26" s="33" t="s">
        <v>50</v>
      </c>
      <c r="B26" s="63">
        <f>(D11/D25)*100</f>
        <v>9.879872698583316</v>
      </c>
      <c r="C26" s="72" t="s">
        <v>7</v>
      </c>
      <c r="D26" s="48"/>
      <c r="E26" s="48"/>
      <c r="F26" s="48"/>
      <c r="G26" s="76"/>
    </row>
    <row r="27" ht="12.75">
      <c r="A27" s="34"/>
    </row>
    <row r="28" spans="1:13" ht="12.75">
      <c r="A28" s="93"/>
      <c r="B28" s="66" t="s">
        <v>78</v>
      </c>
      <c r="C28" s="52" t="s">
        <v>80</v>
      </c>
      <c r="D28" s="52" t="s">
        <v>81</v>
      </c>
      <c r="E28" s="87"/>
      <c r="F28" s="52" t="s">
        <v>92</v>
      </c>
      <c r="G28" s="87" t="s">
        <v>94</v>
      </c>
      <c r="H28" s="52" t="s">
        <v>83</v>
      </c>
      <c r="I28" s="87"/>
      <c r="J28" s="78" t="s">
        <v>86</v>
      </c>
      <c r="K28" s="52" t="s">
        <v>89</v>
      </c>
      <c r="L28" s="52"/>
      <c r="M28" s="52"/>
    </row>
    <row r="29" spans="1:13" ht="12.75">
      <c r="A29" s="29" t="s">
        <v>77</v>
      </c>
      <c r="B29" s="53" t="s">
        <v>79</v>
      </c>
      <c r="C29" s="53" t="s">
        <v>79</v>
      </c>
      <c r="D29" s="53" t="s">
        <v>79</v>
      </c>
      <c r="E29" s="88" t="s">
        <v>82</v>
      </c>
      <c r="F29" s="53" t="s">
        <v>93</v>
      </c>
      <c r="G29" s="88" t="s">
        <v>86</v>
      </c>
      <c r="H29" s="53" t="s">
        <v>84</v>
      </c>
      <c r="I29" s="88" t="s">
        <v>85</v>
      </c>
      <c r="J29" s="79" t="s">
        <v>87</v>
      </c>
      <c r="K29" s="53" t="s">
        <v>88</v>
      </c>
      <c r="L29" s="53" t="s">
        <v>90</v>
      </c>
      <c r="M29" s="53" t="s">
        <v>91</v>
      </c>
    </row>
    <row r="30" spans="1:13" ht="12.75">
      <c r="A30" s="37" t="s">
        <v>39</v>
      </c>
      <c r="B30" s="54" t="s">
        <v>95</v>
      </c>
      <c r="C30" s="54" t="s">
        <v>96</v>
      </c>
      <c r="D30" s="74" t="s">
        <v>97</v>
      </c>
      <c r="E30" s="89" t="s">
        <v>98</v>
      </c>
      <c r="F30" s="54" t="s">
        <v>99</v>
      </c>
      <c r="G30" s="89" t="s">
        <v>100</v>
      </c>
      <c r="H30" s="54" t="s">
        <v>101</v>
      </c>
      <c r="I30" s="92" t="s">
        <v>102</v>
      </c>
      <c r="J30" s="80" t="s">
        <v>103</v>
      </c>
      <c r="K30" s="54" t="s">
        <v>104</v>
      </c>
      <c r="L30" s="54" t="s">
        <v>105</v>
      </c>
      <c r="M30" s="81" t="s">
        <v>51</v>
      </c>
    </row>
    <row r="31" spans="1:13" ht="12.75">
      <c r="A31" s="30" t="s">
        <v>1</v>
      </c>
      <c r="B31" s="55" t="s">
        <v>12</v>
      </c>
      <c r="C31" s="55" t="s">
        <v>12</v>
      </c>
      <c r="D31" s="55" t="s">
        <v>12</v>
      </c>
      <c r="E31" s="90" t="s">
        <v>52</v>
      </c>
      <c r="F31" s="55" t="s">
        <v>16</v>
      </c>
      <c r="G31" s="90" t="s">
        <v>40</v>
      </c>
      <c r="H31" s="55"/>
      <c r="I31" s="90" t="s">
        <v>43</v>
      </c>
      <c r="J31" s="82" t="s">
        <v>9</v>
      </c>
      <c r="K31" s="55" t="s">
        <v>47</v>
      </c>
      <c r="L31" s="55" t="s">
        <v>27</v>
      </c>
      <c r="M31" s="83"/>
    </row>
    <row r="32" spans="1:13" ht="12.75">
      <c r="A32" s="38">
        <v>1</v>
      </c>
      <c r="B32" s="84">
        <f>((0.0000000338)*(((A32*A32)*B12)*((A32*A32)*B12)))*1000</f>
        <v>0.007814607484205772</v>
      </c>
      <c r="C32" s="84">
        <f>((0.000996)*SQRT(A32)*(B11/B5))*1000</f>
        <v>4.589238548363969</v>
      </c>
      <c r="D32" s="84">
        <f>C32+B6</f>
        <v>4.589238548363969</v>
      </c>
      <c r="E32" s="91">
        <f aca="true" t="shared" si="0" ref="E32:E61">10*LOG(B32/(B32+D32))</f>
        <v>-27.69572356583266</v>
      </c>
      <c r="F32" s="84">
        <f>2*B3*A32*B17*1000000</f>
        <v>15.532776632292832</v>
      </c>
      <c r="G32" s="91">
        <f>(1/(2*B3*A32*F32*1000000))*1000000000000</f>
        <v>10246.39360106488</v>
      </c>
      <c r="H32" s="84">
        <f aca="true" t="shared" si="1" ref="H32:H61">F32/((2*(B32+D32))/1000)</f>
        <v>1689.4275643226679</v>
      </c>
      <c r="I32" s="91">
        <f>(A32/H32)*1000</f>
        <v>0.5919164698848299</v>
      </c>
      <c r="J32" s="84">
        <f>SQRT(B7*F32*H32)</f>
        <v>362.2257651870069</v>
      </c>
      <c r="K32" s="84">
        <f>1000*(J32/75000)</f>
        <v>4.829676869160092</v>
      </c>
      <c r="L32" s="84">
        <f>299.793/A32</f>
        <v>299.793</v>
      </c>
      <c r="M32" s="84">
        <f>(D11/L32*100)</f>
        <v>1.4053872970957777</v>
      </c>
    </row>
    <row r="33" spans="1:13" ht="12.75">
      <c r="A33" s="38">
        <v>2</v>
      </c>
      <c r="B33" s="84">
        <f>((0.0000000338)*(((A33*A33)*B12)*((A33*A33)*B12)))*1000</f>
        <v>0.12503371974729235</v>
      </c>
      <c r="C33" s="84">
        <f>((0.000996)*SQRT(A33)*(B11/B5))*1000</f>
        <v>6.490163396061741</v>
      </c>
      <c r="D33" s="84">
        <f>C33+B6</f>
        <v>6.490163396061741</v>
      </c>
      <c r="E33" s="91">
        <f t="shared" si="0"/>
        <v>-17.23515637960878</v>
      </c>
      <c r="F33" s="84">
        <f>2*B3*A33*B17*1000000</f>
        <v>31.065553264585663</v>
      </c>
      <c r="G33" s="91">
        <f>(1/(2*B3*A33*F33*1000000))*1000000000000</f>
        <v>2561.59840026622</v>
      </c>
      <c r="H33" s="84">
        <f t="shared" si="1"/>
        <v>2348.044413547787</v>
      </c>
      <c r="I33" s="91">
        <f aca="true" t="shared" si="2" ref="I33:I61">(A33/H33)*1000</f>
        <v>0.8517726446997194</v>
      </c>
      <c r="J33" s="84">
        <f>SQRT(B7*F33*H33)</f>
        <v>603.9176218520271</v>
      </c>
      <c r="K33" s="84">
        <f aca="true" t="shared" si="3" ref="K33:K61">1000*(J33/75000)</f>
        <v>8.052234958027027</v>
      </c>
      <c r="L33" s="84">
        <f aca="true" t="shared" si="4" ref="L33:L61">299.793/A33</f>
        <v>149.8965</v>
      </c>
      <c r="M33" s="84">
        <f>(D11/L33)*100</f>
        <v>2.8107745941915554</v>
      </c>
    </row>
    <row r="34" spans="1:13" ht="12.75">
      <c r="A34" s="38">
        <v>3</v>
      </c>
      <c r="B34" s="84">
        <f>((0.0000000338)*(((A34*A34)*B12)*((A34*A34)*B12)))*1000</f>
        <v>0.6329832062206675</v>
      </c>
      <c r="C34" s="84">
        <f>((0.000996)*SQRT(A34)*(B11/B5))*1000</f>
        <v>7.948794333820034</v>
      </c>
      <c r="D34" s="84">
        <f>C34+B6</f>
        <v>7.948794333820034</v>
      </c>
      <c r="E34" s="91">
        <f t="shared" si="0"/>
        <v>-11.321850645696205</v>
      </c>
      <c r="F34" s="84">
        <f>2*B3*A34*B17*1000000</f>
        <v>46.5983298968785</v>
      </c>
      <c r="G34" s="91">
        <f>(1/(2*B3*A34*F34*1000000))*1000000000000</f>
        <v>1138.4881778960976</v>
      </c>
      <c r="H34" s="84">
        <f t="shared" si="1"/>
        <v>2714.957925643077</v>
      </c>
      <c r="I34" s="91">
        <f t="shared" si="2"/>
        <v>1.1049894997136673</v>
      </c>
      <c r="J34" s="84">
        <f>SQRT(B7*F34*H34)</f>
        <v>795.3379944252035</v>
      </c>
      <c r="K34" s="84">
        <f t="shared" si="3"/>
        <v>10.604506592336048</v>
      </c>
      <c r="L34" s="84">
        <f t="shared" si="4"/>
        <v>99.931</v>
      </c>
      <c r="M34" s="84">
        <f>(D11/L34)*100</f>
        <v>4.216161891287333</v>
      </c>
    </row>
    <row r="35" spans="1:13" ht="12.75">
      <c r="A35" s="38">
        <v>4</v>
      </c>
      <c r="B35" s="84">
        <f>((0.0000000338)*(((A35*A35)*B12)*((A35*A35)*B12)))*1000</f>
        <v>2.0005395159566777</v>
      </c>
      <c r="C35" s="84">
        <f>((0.000996)*SQRT(A35)*(B11/B5))*1000</f>
        <v>9.178477096727939</v>
      </c>
      <c r="D35" s="84">
        <f>C35+B6</f>
        <v>9.178477096727939</v>
      </c>
      <c r="E35" s="91">
        <f t="shared" si="0"/>
        <v>-7.472564672740932</v>
      </c>
      <c r="F35" s="84">
        <f>2*B3*A35*B17*1000000</f>
        <v>62.131106529171326</v>
      </c>
      <c r="G35" s="91">
        <f>(1/(2*B3*A35*F35*1000000))*1000000000000</f>
        <v>640.399600066555</v>
      </c>
      <c r="H35" s="84">
        <f t="shared" si="1"/>
        <v>2778.916459372301</v>
      </c>
      <c r="I35" s="91">
        <f t="shared" si="2"/>
        <v>1.4394099493381376</v>
      </c>
      <c r="J35" s="84">
        <f>SQRT(B7*F35*H35)</f>
        <v>929.1317306306141</v>
      </c>
      <c r="K35" s="84">
        <f t="shared" si="3"/>
        <v>12.388423075074854</v>
      </c>
      <c r="L35" s="84">
        <f t="shared" si="4"/>
        <v>74.94825</v>
      </c>
      <c r="M35" s="84">
        <f>(D11/L35)*100</f>
        <v>5.621549188383111</v>
      </c>
    </row>
    <row r="36" spans="1:13" ht="12.75">
      <c r="A36" s="38">
        <v>5</v>
      </c>
      <c r="B36" s="84">
        <f>((0.0000000338)*(((A36*A36)*B12)*((A36*A36)*B12)))*1000</f>
        <v>4.884129677628608</v>
      </c>
      <c r="C36" s="84">
        <f>((0.000996)*SQRT(A36)*(B11/B5))*1000</f>
        <v>10.261849359104291</v>
      </c>
      <c r="D36" s="84">
        <f>C36+B6</f>
        <v>10.261849359104291</v>
      </c>
      <c r="E36" s="91">
        <f t="shared" si="0"/>
        <v>-4.9151016509129475</v>
      </c>
      <c r="F36" s="84">
        <f>2*B3*A36*B17*1000000</f>
        <v>77.66388316146416</v>
      </c>
      <c r="G36" s="91">
        <f>(1/(2*B3*A36*F36*1000000))*1000000000000</f>
        <v>409.8557440425951</v>
      </c>
      <c r="H36" s="84">
        <f t="shared" si="1"/>
        <v>2563.8449311566205</v>
      </c>
      <c r="I36" s="91">
        <f t="shared" si="2"/>
        <v>1.9501959495437828</v>
      </c>
      <c r="J36" s="84">
        <f>SQRT(B7*F36*H36)</f>
        <v>997.7929474030668</v>
      </c>
      <c r="K36" s="84">
        <f t="shared" si="3"/>
        <v>13.303905965374225</v>
      </c>
      <c r="L36" s="84">
        <f t="shared" si="4"/>
        <v>59.958600000000004</v>
      </c>
      <c r="M36" s="84">
        <f>(D11/L36)*100</f>
        <v>7.026936485478888</v>
      </c>
    </row>
    <row r="37" spans="1:13" ht="12.75">
      <c r="A37" s="38">
        <v>6</v>
      </c>
      <c r="B37" s="84">
        <f>((0.0000000338)*(((A37*A37)*B12)*((A37*A37)*B12)))*1000</f>
        <v>10.12773129953068</v>
      </c>
      <c r="C37" s="84">
        <f>((0.000996)*SQRT(A37)*(B11/B5))*1000</f>
        <v>11.241292751402705</v>
      </c>
      <c r="D37" s="84">
        <f>C37+B6</f>
        <v>11.241292751402705</v>
      </c>
      <c r="E37" s="91">
        <f t="shared" si="0"/>
        <v>-3.2427251737559173</v>
      </c>
      <c r="F37" s="84">
        <f>2*B3*A37*B17*1000000</f>
        <v>93.196659793757</v>
      </c>
      <c r="G37" s="91">
        <f>(1/(2*B3*A37*F37*1000000))*1000000000000</f>
        <v>284.6220444740244</v>
      </c>
      <c r="H37" s="84">
        <f t="shared" si="1"/>
        <v>2180.6484837964845</v>
      </c>
      <c r="I37" s="91">
        <f t="shared" si="2"/>
        <v>2.7514750976984916</v>
      </c>
      <c r="J37" s="84">
        <f>SQRT(B7*F37*H37)</f>
        <v>1008.0405618678075</v>
      </c>
      <c r="K37" s="84">
        <f t="shared" si="3"/>
        <v>13.4405408249041</v>
      </c>
      <c r="L37" s="84">
        <f t="shared" si="4"/>
        <v>49.9655</v>
      </c>
      <c r="M37" s="84">
        <f>(D11/L37)*100</f>
        <v>8.432323782574667</v>
      </c>
    </row>
    <row r="38" spans="1:13" ht="12.75">
      <c r="A38" s="38">
        <v>7</v>
      </c>
      <c r="B38" s="84">
        <f>((0.0000000338)*(((A38*A38)*B12)*((A38*A38)*B12)))*1000</f>
        <v>18.762872569578057</v>
      </c>
      <c r="C38" s="84">
        <f>((0.000996)*SQRT(A38)*(B11/B5))*1000</f>
        <v>12.14198390612213</v>
      </c>
      <c r="D38" s="84">
        <f>C38+B6</f>
        <v>12.14198390612213</v>
      </c>
      <c r="E38" s="91">
        <f t="shared" si="0"/>
        <v>-2.1672740202701704</v>
      </c>
      <c r="F38" s="84">
        <f>2*B3*A38*B17*1000000</f>
        <v>108.72943642604982</v>
      </c>
      <c r="G38" s="91">
        <f>(1/(2*B3*A38*F38*1000000))*1000000000000</f>
        <v>209.11007349111995</v>
      </c>
      <c r="H38" s="84">
        <f t="shared" si="1"/>
        <v>1759.099520677946</v>
      </c>
      <c r="I38" s="91">
        <f t="shared" si="2"/>
        <v>3.979308684765171</v>
      </c>
      <c r="J38" s="84">
        <f>SQRT(B7*F38*H38)</f>
        <v>977.92100780341</v>
      </c>
      <c r="K38" s="84">
        <f t="shared" si="3"/>
        <v>13.038946770712133</v>
      </c>
      <c r="L38" s="84">
        <f t="shared" si="4"/>
        <v>42.82757142857143</v>
      </c>
      <c r="M38" s="84">
        <f>(D11/L38)*100</f>
        <v>9.837711079670443</v>
      </c>
    </row>
    <row r="39" spans="1:13" ht="12.75">
      <c r="A39" s="38">
        <v>8</v>
      </c>
      <c r="B39" s="84">
        <f>((0.0000000338)*(((A39*A39)*B12)*((A39*A39)*B12)))*1000</f>
        <v>32.00863225530684</v>
      </c>
      <c r="C39" s="84">
        <f>((0.000996)*SQRT(A39)*(B11/B5))*1000</f>
        <v>12.980326792123481</v>
      </c>
      <c r="D39" s="84">
        <f>C39+B6</f>
        <v>12.980326792123481</v>
      </c>
      <c r="E39" s="91">
        <f t="shared" si="0"/>
        <v>-1.478388276725406</v>
      </c>
      <c r="F39" s="84">
        <f>2*B3*A39*B17*1000000</f>
        <v>124.26221305834265</v>
      </c>
      <c r="G39" s="91">
        <f>(1/(2*B3*A39*F39*1000000))*1000000000000</f>
        <v>160.09990001663874</v>
      </c>
      <c r="H39" s="84">
        <f t="shared" si="1"/>
        <v>1381.0300981551634</v>
      </c>
      <c r="I39" s="91">
        <f t="shared" si="2"/>
        <v>5.792777442495082</v>
      </c>
      <c r="J39" s="84">
        <f>SQRT(B7*F39*H39)</f>
        <v>926.3094955168623</v>
      </c>
      <c r="K39" s="84">
        <f t="shared" si="3"/>
        <v>12.350793273558164</v>
      </c>
      <c r="L39" s="84">
        <f t="shared" si="4"/>
        <v>37.474125</v>
      </c>
      <c r="M39" s="84">
        <f>(D11/L39)*100</f>
        <v>11.243098376766222</v>
      </c>
    </row>
    <row r="40" spans="1:13" ht="12.75">
      <c r="A40" s="38">
        <v>9</v>
      </c>
      <c r="B40" s="84">
        <f>((0.0000000338)*(((A40*A40)*B12)*((A40*A40)*B12)))*1000</f>
        <v>51.27163970387408</v>
      </c>
      <c r="C40" s="84">
        <f>((0.000996)*SQRT(A40)*(B11/B5))*1000</f>
        <v>13.767715645091908</v>
      </c>
      <c r="D40" s="84">
        <f>C40+B6</f>
        <v>13.767715645091908</v>
      </c>
      <c r="E40" s="91">
        <f t="shared" si="0"/>
        <v>-1.0329902129563897</v>
      </c>
      <c r="F40" s="84">
        <f>2*B3*A40*B17*1000000</f>
        <v>139.79498969063548</v>
      </c>
      <c r="G40" s="91">
        <f>(1/(2*B3*A40*F40*1000000))*1000000000000</f>
        <v>126.49868643289973</v>
      </c>
      <c r="H40" s="84">
        <f t="shared" si="1"/>
        <v>1074.6953820542285</v>
      </c>
      <c r="I40" s="91">
        <f t="shared" si="2"/>
        <v>8.374466058276843</v>
      </c>
      <c r="J40" s="84">
        <f>SQRT(B7*F40*H40)</f>
        <v>866.7093799389863</v>
      </c>
      <c r="K40" s="84">
        <f t="shared" si="3"/>
        <v>11.556125065853152</v>
      </c>
      <c r="L40" s="84">
        <f t="shared" si="4"/>
        <v>33.31033333333333</v>
      </c>
      <c r="M40" s="84">
        <f>(D11/L40)*100</f>
        <v>12.648485673861998</v>
      </c>
    </row>
    <row r="41" spans="1:13" ht="12.75">
      <c r="A41" s="38">
        <v>10</v>
      </c>
      <c r="B41" s="84">
        <f>((0.0000000338)*(((A41*A41)*B12)*((A41*A41)*B12)))*1000</f>
        <v>78.14607484205773</v>
      </c>
      <c r="C41" s="84">
        <f>((0.000996)*SQRT(A41)*(B11/B5))*1000</f>
        <v>14.512446538674945</v>
      </c>
      <c r="D41" s="84">
        <f>C41+B6</f>
        <v>14.512446538674945</v>
      </c>
      <c r="E41" s="91">
        <f t="shared" si="0"/>
        <v>-0.7397819661547236</v>
      </c>
      <c r="F41" s="84">
        <f>2*B3*A41*B17*1000000</f>
        <v>155.3277663229283</v>
      </c>
      <c r="G41" s="91">
        <f>(1/(2*B3*A41*F41*1000000))*1000000000000</f>
        <v>102.46393601064878</v>
      </c>
      <c r="H41" s="84">
        <f t="shared" si="1"/>
        <v>838.1731329636079</v>
      </c>
      <c r="I41" s="91">
        <f t="shared" si="2"/>
        <v>11.930709308996883</v>
      </c>
      <c r="J41" s="84">
        <f>SQRT(B7*F41*H41)</f>
        <v>806.8195601716905</v>
      </c>
      <c r="K41" s="84">
        <f t="shared" si="3"/>
        <v>10.75759413562254</v>
      </c>
      <c r="L41" s="84">
        <f t="shared" si="4"/>
        <v>29.979300000000002</v>
      </c>
      <c r="M41" s="84">
        <f>(D11/L41)*100</f>
        <v>14.053872970957777</v>
      </c>
    </row>
    <row r="42" spans="1:13" ht="12.75">
      <c r="A42" s="38">
        <v>11</v>
      </c>
      <c r="B42" s="84">
        <f>((0.0000000338)*(((A42*A42)*B12)*((A42*A42)*B12)))*1000</f>
        <v>114.4136681762567</v>
      </c>
      <c r="C42" s="84">
        <f>((0.000996)*SQRT(A42)*(B11/B5))*1000</f>
        <v>15.220782338358571</v>
      </c>
      <c r="D42" s="84">
        <f>C42+B6</f>
        <v>15.220782338358571</v>
      </c>
      <c r="E42" s="91">
        <f t="shared" si="0"/>
        <v>-0.5424252157793864</v>
      </c>
      <c r="F42" s="84">
        <f>2*B3*A42*B17*1000000</f>
        <v>170.86054295522112</v>
      </c>
      <c r="G42" s="91">
        <f>(1/(2*B3*A42*F42*1000000))*1000000000000</f>
        <v>84.68093885177586</v>
      </c>
      <c r="H42" s="84">
        <f t="shared" si="1"/>
        <v>659.0090144901641</v>
      </c>
      <c r="I42" s="91">
        <f t="shared" si="2"/>
        <v>16.69172918447867</v>
      </c>
      <c r="J42" s="84">
        <f>SQRT(B7*F42*H42)</f>
        <v>750.3287213887478</v>
      </c>
      <c r="K42" s="84">
        <f t="shared" si="3"/>
        <v>10.004382951849971</v>
      </c>
      <c r="L42" s="84">
        <f t="shared" si="4"/>
        <v>27.25390909090909</v>
      </c>
      <c r="M42" s="84">
        <f>(D11/L42)*100</f>
        <v>15.459260268053555</v>
      </c>
    </row>
    <row r="43" spans="1:13" ht="12.75">
      <c r="A43" s="38">
        <v>12</v>
      </c>
      <c r="B43" s="84">
        <f>((0.0000000338)*(((A43*A43)*B12)*((A43*A43)*B12)))*1000</f>
        <v>162.04370079249088</v>
      </c>
      <c r="C43" s="84">
        <f>((0.000996)*SQRT(A43)*(B11/B5))*1000</f>
        <v>15.897588667640068</v>
      </c>
      <c r="D43" s="84">
        <f>C43+B6</f>
        <v>15.897588667640068</v>
      </c>
      <c r="E43" s="91">
        <f t="shared" si="0"/>
        <v>-0.4064458023429876</v>
      </c>
      <c r="F43" s="84">
        <f>2*B3*A43*B17*1000000</f>
        <v>186.393319587514</v>
      </c>
      <c r="G43" s="91">
        <f>(1/(2*B3*A43*F43*1000000))*1000000000000</f>
        <v>71.1555111185061</v>
      </c>
      <c r="H43" s="84">
        <f t="shared" si="1"/>
        <v>523.7494910625473</v>
      </c>
      <c r="I43" s="91">
        <f t="shared" si="2"/>
        <v>22.911716774474026</v>
      </c>
      <c r="J43" s="84">
        <f>SQRT(B7*F43*H43)</f>
        <v>698.6537277915978</v>
      </c>
      <c r="K43" s="84">
        <f t="shared" si="3"/>
        <v>9.315383037221304</v>
      </c>
      <c r="L43" s="84">
        <f t="shared" si="4"/>
        <v>24.98275</v>
      </c>
      <c r="M43" s="84">
        <f>(D11/L43)*100</f>
        <v>16.864647565149333</v>
      </c>
    </row>
    <row r="44" spans="1:13" ht="12.75">
      <c r="A44" s="38">
        <v>13</v>
      </c>
      <c r="B44" s="84">
        <f>((0.0000000338)*(((A44*A44)*B12)*((A44*A44)*B12)))*1000</f>
        <v>223.19300435640105</v>
      </c>
      <c r="C44" s="84">
        <f>((0.000996)*SQRT(A44)*(B11/B5))*1000</f>
        <v>16.54673490146222</v>
      </c>
      <c r="D44" s="84">
        <f>C44+B6</f>
        <v>16.54673490146222</v>
      </c>
      <c r="E44" s="91">
        <f t="shared" si="0"/>
        <v>-0.3105945046957399</v>
      </c>
      <c r="F44" s="84">
        <f>2*B3*A44*B17*1000000</f>
        <v>201.92609621980682</v>
      </c>
      <c r="G44" s="91">
        <f>(1/(2*B3*A44*F44*1000000))*1000000000000</f>
        <v>60.62954793529514</v>
      </c>
      <c r="H44" s="84">
        <f t="shared" si="1"/>
        <v>421.1360553842427</v>
      </c>
      <c r="I44" s="91">
        <f t="shared" si="2"/>
        <v>30.86888390056951</v>
      </c>
      <c r="J44" s="84">
        <f>SQRT(B7*F44*H44)</f>
        <v>652.067326436268</v>
      </c>
      <c r="K44" s="84">
        <f t="shared" si="3"/>
        <v>8.69423101915024</v>
      </c>
      <c r="L44" s="84">
        <f t="shared" si="4"/>
        <v>23.061</v>
      </c>
      <c r="M44" s="84">
        <f>(D11/L44)*100</f>
        <v>18.270034862245108</v>
      </c>
    </row>
    <row r="45" spans="1:13" ht="12.75">
      <c r="A45" s="38">
        <v>14</v>
      </c>
      <c r="B45" s="84">
        <f>((0.0000000338)*(((A45*A45)*B12)*((A45*A45)*B12)))*1000</f>
        <v>300.2059611132489</v>
      </c>
      <c r="C45" s="84">
        <f>((0.000996)*SQRT(A45)*(B11/B5))*1000</f>
        <v>17.171358314153768</v>
      </c>
      <c r="D45" s="84">
        <f>C45+B6</f>
        <v>17.171358314153768</v>
      </c>
      <c r="E45" s="91">
        <f t="shared" si="0"/>
        <v>-0.2415657609621027</v>
      </c>
      <c r="F45" s="84">
        <f>2*B3*A45*B17*1000000</f>
        <v>217.45887285209963</v>
      </c>
      <c r="G45" s="91">
        <f>(1/(2*B3*A45*F45*1000000))*1000000000000</f>
        <v>52.27751837277999</v>
      </c>
      <c r="H45" s="84">
        <f t="shared" si="1"/>
        <v>342.58729206678777</v>
      </c>
      <c r="I45" s="91">
        <f t="shared" si="2"/>
        <v>40.86549712786978</v>
      </c>
      <c r="J45" s="84">
        <f>SQRT(B7*F45*H45)</f>
        <v>610.3222361437306</v>
      </c>
      <c r="K45" s="84">
        <f t="shared" si="3"/>
        <v>8.137629815249742</v>
      </c>
      <c r="L45" s="84">
        <f t="shared" si="4"/>
        <v>21.413785714285716</v>
      </c>
      <c r="M45" s="84">
        <f>(D11/L45)*100</f>
        <v>19.675422159340886</v>
      </c>
    </row>
    <row r="46" spans="1:13" ht="12.75">
      <c r="A46" s="38">
        <v>15</v>
      </c>
      <c r="B46" s="84">
        <f>((0.0000000338)*(((A46*A46)*B12)*((A46*A46)*B12)))*1000</f>
        <v>395.6145038879172</v>
      </c>
      <c r="C46" s="84">
        <f>((0.000996)*SQRT(A46)*(B11/B5))*1000</f>
        <v>17.77404446958676</v>
      </c>
      <c r="D46" s="84">
        <f>C46+B6</f>
        <v>17.77404446958676</v>
      </c>
      <c r="E46" s="91">
        <f t="shared" si="0"/>
        <v>-0.19086236504144882</v>
      </c>
      <c r="F46" s="84">
        <f>2*B3*A46*B17*1000000</f>
        <v>232.99164948439244</v>
      </c>
      <c r="G46" s="91">
        <f>(1/(2*B3*A46*F46*1000000))*1000000000000</f>
        <v>45.53952711584392</v>
      </c>
      <c r="H46" s="84">
        <f t="shared" si="1"/>
        <v>281.80709215352783</v>
      </c>
      <c r="I46" s="91">
        <f t="shared" si="2"/>
        <v>53.22790099203052</v>
      </c>
      <c r="J46" s="84">
        <f>SQRT(B7*F46*H46)</f>
        <v>572.9690185221651</v>
      </c>
      <c r="K46" s="84">
        <f t="shared" si="3"/>
        <v>7.639586913628868</v>
      </c>
      <c r="L46" s="84">
        <f t="shared" si="4"/>
        <v>19.9862</v>
      </c>
      <c r="M46" s="84">
        <f>(D11/L46)*100</f>
        <v>21.080809456436665</v>
      </c>
    </row>
    <row r="47" spans="1:13" ht="12.75">
      <c r="A47" s="38">
        <v>16</v>
      </c>
      <c r="B47" s="84">
        <f>((0.0000000338)*(((A47*A47)*B12)*((A47*A47)*B12)))*1000</f>
        <v>512.1381160849095</v>
      </c>
      <c r="C47" s="84">
        <f>((0.000996)*SQRT(A47)*(B11/B5))*1000</f>
        <v>18.356954193455877</v>
      </c>
      <c r="D47" s="84">
        <f>C47+B6</f>
        <v>18.356954193455877</v>
      </c>
      <c r="E47" s="91">
        <f t="shared" si="0"/>
        <v>-0.15294252917441026</v>
      </c>
      <c r="F47" s="84">
        <f>2*B3*A47*B17*1000000</f>
        <v>248.5244261166853</v>
      </c>
      <c r="G47" s="91">
        <f>(1/(2*B3*A47*F47*1000000))*1000000000000</f>
        <v>40.024975004159685</v>
      </c>
      <c r="H47" s="84">
        <f t="shared" si="1"/>
        <v>234.2382050659563</v>
      </c>
      <c r="I47" s="91">
        <f t="shared" si="2"/>
        <v>68.30653434820658</v>
      </c>
      <c r="J47" s="84">
        <f>SQRT(B7*F47*H47)</f>
        <v>539.5086444563202</v>
      </c>
      <c r="K47" s="84">
        <f t="shared" si="3"/>
        <v>7.1934485927509355</v>
      </c>
      <c r="L47" s="84">
        <f t="shared" si="4"/>
        <v>18.7370625</v>
      </c>
      <c r="M47" s="84">
        <f>(D11/L47)*100</f>
        <v>22.486196753532443</v>
      </c>
    </row>
    <row r="48" spans="1:13" ht="12.75">
      <c r="A48" s="38">
        <v>17</v>
      </c>
      <c r="B48" s="84">
        <f>((0.0000000338)*(((A48*A48)*B12)*((A48*A48)*B12)))*1000</f>
        <v>652.6838316883503</v>
      </c>
      <c r="C48" s="84">
        <f>((0.000996)*SQRT(A48)*(B11/B5))*1000</f>
        <v>18.92191527606091</v>
      </c>
      <c r="D48" s="84">
        <f>C48+B6</f>
        <v>18.92191527606091</v>
      </c>
      <c r="E48" s="91">
        <f t="shared" si="0"/>
        <v>-0.12411549293958253</v>
      </c>
      <c r="F48" s="84">
        <f>2*B3*A48*B17*1000000</f>
        <v>264.0572027489781</v>
      </c>
      <c r="G48" s="91">
        <f>(1/(2*B3*A48*F48*1000000))*1000000000000</f>
        <v>35.4546491386328</v>
      </c>
      <c r="H48" s="84">
        <f t="shared" si="1"/>
        <v>196.58646753879748</v>
      </c>
      <c r="I48" s="91">
        <f t="shared" si="2"/>
        <v>86.47594217870034</v>
      </c>
      <c r="J48" s="84">
        <f>SQRT(B7*F48*H48)</f>
        <v>509.4608557906959</v>
      </c>
      <c r="K48" s="84">
        <f t="shared" si="3"/>
        <v>6.792811410542612</v>
      </c>
      <c r="L48" s="84">
        <f t="shared" si="4"/>
        <v>17.634882352941176</v>
      </c>
      <c r="M48" s="84">
        <f>(D11/L48)*100</f>
        <v>23.89158405062822</v>
      </c>
    </row>
    <row r="49" spans="1:13" ht="12.75">
      <c r="A49" s="38">
        <v>18</v>
      </c>
      <c r="B49" s="84">
        <f>((0.0000000338)*(((A49*A49)*B12)*((A49*A49)*B12)))*1000</f>
        <v>820.3462352619853</v>
      </c>
      <c r="C49" s="84">
        <f>((0.000996)*SQRT(A49)*(B11/B5))*1000</f>
        <v>19.47049018818522</v>
      </c>
      <c r="D49" s="84">
        <f>C49+B6</f>
        <v>19.47049018818522</v>
      </c>
      <c r="E49" s="91">
        <f t="shared" si="0"/>
        <v>-0.10187330253292587</v>
      </c>
      <c r="F49" s="84">
        <f>2*B3*A49*B17*1000000</f>
        <v>279.58997938127095</v>
      </c>
      <c r="G49" s="91">
        <f>(1/(2*B3*A49*F49*1000000))*1000000000000</f>
        <v>31.624671608224933</v>
      </c>
      <c r="H49" s="84">
        <f t="shared" si="1"/>
        <v>166.45892544674027</v>
      </c>
      <c r="I49" s="91">
        <f t="shared" si="2"/>
        <v>108.1347843120568</v>
      </c>
      <c r="J49" s="84">
        <f>SQRT(B7*F49*H49)</f>
        <v>482.39116665566456</v>
      </c>
      <c r="K49" s="84">
        <f t="shared" si="3"/>
        <v>6.431882222075527</v>
      </c>
      <c r="L49" s="84">
        <f t="shared" si="4"/>
        <v>16.655166666666666</v>
      </c>
      <c r="M49" s="84">
        <f>(D11/L49)*100</f>
        <v>25.296971347723996</v>
      </c>
    </row>
    <row r="50" spans="1:13" ht="12.75">
      <c r="A50" s="38">
        <v>19</v>
      </c>
      <c r="B50" s="84">
        <f>((0.0000000338)*(((A50*A50)*B12)*((A50*A50)*B12)))*1000</f>
        <v>1018.4074619491803</v>
      </c>
      <c r="C50" s="84">
        <f>((0.000996)*SQRT(A50)*(B11/B5))*1000</f>
        <v>20.004027060119842</v>
      </c>
      <c r="D50" s="84">
        <f>C50+B6</f>
        <v>20.004027060119842</v>
      </c>
      <c r="E50" s="91">
        <f t="shared" si="0"/>
        <v>-0.08447911761242732</v>
      </c>
      <c r="F50" s="84">
        <f>2*B3*A50*B17*1000000</f>
        <v>295.12275601356373</v>
      </c>
      <c r="G50" s="91">
        <f>(1/(2*B3*A50*F50*1000000))*1000000000000</f>
        <v>28.383361775803</v>
      </c>
      <c r="H50" s="84">
        <f t="shared" si="1"/>
        <v>142.1029905471898</v>
      </c>
      <c r="I50" s="91">
        <f t="shared" si="2"/>
        <v>133.70584198712166</v>
      </c>
      <c r="J50" s="84">
        <f>SQRT(B7*F50*H50)</f>
        <v>457.9182580333309</v>
      </c>
      <c r="K50" s="84">
        <f t="shared" si="3"/>
        <v>6.105576773777746</v>
      </c>
      <c r="L50" s="84">
        <f t="shared" si="4"/>
        <v>15.778578947368421</v>
      </c>
      <c r="M50" s="84">
        <f>(D11/L50)*100</f>
        <v>26.702358644819775</v>
      </c>
    </row>
    <row r="51" spans="1:13" ht="12.75">
      <c r="A51" s="38">
        <v>20</v>
      </c>
      <c r="B51" s="84">
        <f>((0.0000000338)*(((A51*A51)*B12)*((A51*A51)*B12)))*1000</f>
        <v>1250.3371974729237</v>
      </c>
      <c r="C51" s="84">
        <f>((0.000996)*SQRT(A51)*(B11/B5))*1000</f>
        <v>20.523698718208582</v>
      </c>
      <c r="D51" s="84">
        <f>C51+B6</f>
        <v>20.523698718208582</v>
      </c>
      <c r="E51" s="91">
        <f t="shared" si="0"/>
        <v>-0.07070865251186274</v>
      </c>
      <c r="F51" s="84">
        <f>2*B3*A51*B17*1000000</f>
        <v>310.6555326458566</v>
      </c>
      <c r="G51" s="91">
        <f>(1/(2*B3*A51*F51*1000000))*1000000000000</f>
        <v>25.615984002662195</v>
      </c>
      <c r="H51" s="84">
        <f t="shared" si="1"/>
        <v>122.22247673876626</v>
      </c>
      <c r="I51" s="91">
        <f t="shared" si="2"/>
        <v>163.63602287938616</v>
      </c>
      <c r="J51" s="84">
        <f>SQRT(B7*F51*H51)</f>
        <v>435.7125693193694</v>
      </c>
      <c r="K51" s="84">
        <f t="shared" si="3"/>
        <v>5.809500924258258</v>
      </c>
      <c r="L51" s="84">
        <f t="shared" si="4"/>
        <v>14.989650000000001</v>
      </c>
      <c r="M51" s="84">
        <f>(D11/L51)*100</f>
        <v>28.107745941915553</v>
      </c>
    </row>
    <row r="52" spans="1:13" ht="12.75">
      <c r="A52" s="38">
        <v>21</v>
      </c>
      <c r="B52" s="84">
        <f>((0.0000000338)*(((A52*A52)*B12)*((A52*A52)*B12)))*1000</f>
        <v>1519.7926781358224</v>
      </c>
      <c r="C52" s="84">
        <f>((0.000996)*SQRT(A52)*(B11/B5))*1000</f>
        <v>21.03053303008715</v>
      </c>
      <c r="D52" s="84">
        <f>C52+B6</f>
        <v>21.03053303008715</v>
      </c>
      <c r="E52" s="91">
        <f t="shared" si="0"/>
        <v>-0.05968464209184488</v>
      </c>
      <c r="F52" s="84">
        <f>2*B3*A52*B17*1000000</f>
        <v>326.18830927814946</v>
      </c>
      <c r="G52" s="91">
        <f>(1/(2*B3*A52*F52*1000000))*1000000000000</f>
        <v>23.23445261012444</v>
      </c>
      <c r="H52" s="84">
        <f t="shared" si="1"/>
        <v>105.84871350403965</v>
      </c>
      <c r="I52" s="91">
        <f t="shared" si="2"/>
        <v>198.39636500823931</v>
      </c>
      <c r="J52" s="84">
        <f>SQRT(B7*F52*H52)</f>
        <v>415.4913530818055</v>
      </c>
      <c r="K52" s="84">
        <f t="shared" si="3"/>
        <v>5.539884707757406</v>
      </c>
      <c r="L52" s="84">
        <f t="shared" si="4"/>
        <v>14.275857142857143</v>
      </c>
      <c r="M52" s="84">
        <f>(D11/L52)*100</f>
        <v>29.51313323901133</v>
      </c>
    </row>
    <row r="53" spans="1:13" ht="12.75">
      <c r="A53" s="38">
        <v>22</v>
      </c>
      <c r="B53" s="84">
        <f>((0.0000000338)*(((A53*A53)*B12)*((A53*A53)*B12)))*1000</f>
        <v>1830.6186908201073</v>
      </c>
      <c r="C53" s="84">
        <f>((0.000996)*SQRT(A53)*(B11/B5))*1000</f>
        <v>21.52543681283556</v>
      </c>
      <c r="D53" s="84">
        <f>C53+B6</f>
        <v>21.52543681283556</v>
      </c>
      <c r="E53" s="91">
        <f t="shared" si="0"/>
        <v>-0.05076886754714971</v>
      </c>
      <c r="F53" s="84">
        <f>2*B3*A53*B17*1000000</f>
        <v>341.72108591044224</v>
      </c>
      <c r="G53" s="91">
        <f>(1/(2*B3*A53*F53*1000000))*1000000000000</f>
        <v>21.170234712943966</v>
      </c>
      <c r="H53" s="84">
        <f t="shared" si="1"/>
        <v>92.25013345672103</v>
      </c>
      <c r="I53" s="91">
        <f t="shared" si="2"/>
        <v>238.48203981538148</v>
      </c>
      <c r="J53" s="84">
        <f>SQRT(B7*F53*H53)</f>
        <v>397.0126936271303</v>
      </c>
      <c r="K53" s="84">
        <f t="shared" si="3"/>
        <v>5.293502581695071</v>
      </c>
      <c r="L53" s="84">
        <f t="shared" si="4"/>
        <v>13.626954545454545</v>
      </c>
      <c r="M53" s="84">
        <f>(D11/L53)*100</f>
        <v>30.91852053610711</v>
      </c>
    </row>
    <row r="54" spans="1:13" ht="12.75">
      <c r="A54" s="38">
        <v>23</v>
      </c>
      <c r="B54" s="84">
        <f>((0.0000000338)*(((A54*A54)*B12)*((A54*A54)*B12)))*1000</f>
        <v>2186.8475729876272</v>
      </c>
      <c r="C54" s="84">
        <f>((0.000996)*SQRT(A54)*(B11/B5))*1000</f>
        <v>22.009214898245826</v>
      </c>
      <c r="D54" s="84">
        <f>C54+B6</f>
        <v>22.009214898245826</v>
      </c>
      <c r="E54" s="91">
        <f t="shared" si="0"/>
        <v>-0.04349046102485149</v>
      </c>
      <c r="F54" s="84">
        <f>2*B3*A54*B17*1000000</f>
        <v>357.2538625427351</v>
      </c>
      <c r="G54" s="91">
        <f>(1/(2*B3*A54*F54*1000000))*1000000000000</f>
        <v>19.36936408518881</v>
      </c>
      <c r="H54" s="84">
        <f t="shared" si="1"/>
        <v>80.8684982435343</v>
      </c>
      <c r="I54" s="91">
        <f t="shared" si="2"/>
        <v>284.41235461966704</v>
      </c>
      <c r="J54" s="84">
        <f>SQRT(B7*F54*H54)</f>
        <v>380.0696209612985</v>
      </c>
      <c r="K54" s="84">
        <f t="shared" si="3"/>
        <v>5.067594946150646</v>
      </c>
      <c r="L54" s="84">
        <f t="shared" si="4"/>
        <v>13.034478260869566</v>
      </c>
      <c r="M54" s="84">
        <f>(D11/L54)*100</f>
        <v>32.32390783320288</v>
      </c>
    </row>
    <row r="55" spans="1:13" ht="12.75">
      <c r="A55" s="38">
        <v>24</v>
      </c>
      <c r="B55" s="84">
        <f>((0.0000000338)*(((A55*A55)*B12)*((A55*A55)*B12)))*1000</f>
        <v>2592.699212679854</v>
      </c>
      <c r="C55" s="84">
        <f>((0.000996)*SQRT(A55)*(B11/B5))*1000</f>
        <v>22.48258550280541</v>
      </c>
      <c r="D55" s="84">
        <f>C55+B6</f>
        <v>22.48258550280541</v>
      </c>
      <c r="E55" s="91">
        <f t="shared" si="0"/>
        <v>-0.037497490668197284</v>
      </c>
      <c r="F55" s="84">
        <f>2*B3*A55*B17*1000000</f>
        <v>372.786639175028</v>
      </c>
      <c r="G55" s="91">
        <f>(1/(2*B3*A55*F55*1000000))*1000000000000</f>
        <v>17.788877779626525</v>
      </c>
      <c r="H55" s="84">
        <f t="shared" si="1"/>
        <v>71.2735610644898</v>
      </c>
      <c r="I55" s="91">
        <f t="shared" si="2"/>
        <v>336.73075459614404</v>
      </c>
      <c r="J55" s="84">
        <f>SQRT(B7*F55*H55)</f>
        <v>364.48478220131005</v>
      </c>
      <c r="K55" s="84">
        <f t="shared" si="3"/>
        <v>4.859797096017467</v>
      </c>
      <c r="L55" s="84">
        <f t="shared" si="4"/>
        <v>12.491375</v>
      </c>
      <c r="M55" s="84">
        <f>(D11/L55)*100</f>
        <v>33.72929513029867</v>
      </c>
    </row>
    <row r="56" spans="1:13" ht="12.75">
      <c r="A56" s="38">
        <v>25</v>
      </c>
      <c r="B56" s="84">
        <f>((0.0000000338)*(((A56*A56)*B12)*((A56*A56)*B12)))*1000</f>
        <v>3052.5810485178804</v>
      </c>
      <c r="C56" s="84">
        <f>((0.000996)*SQRT(A56)*(B11/B5))*1000</f>
        <v>22.94619274181985</v>
      </c>
      <c r="D56" s="84">
        <f>C56+B6</f>
        <v>22.94619274181985</v>
      </c>
      <c r="E56" s="91">
        <f t="shared" si="0"/>
        <v>-0.03252374465811066</v>
      </c>
      <c r="F56" s="84">
        <f>2*B3*A56*B17*1000000</f>
        <v>388.3194158073208</v>
      </c>
      <c r="G56" s="91">
        <f>(1/(2*B3*A56*F56*1000000))*1000000000000</f>
        <v>16.3942297617038</v>
      </c>
      <c r="H56" s="84">
        <f t="shared" si="1"/>
        <v>63.13054402474903</v>
      </c>
      <c r="I56" s="91">
        <f t="shared" si="2"/>
        <v>396.0048243873721</v>
      </c>
      <c r="J56" s="84">
        <f>SQRT(B7*F56*H56)</f>
        <v>350.1058124002577</v>
      </c>
      <c r="K56" s="84">
        <f t="shared" si="3"/>
        <v>4.668077498670103</v>
      </c>
      <c r="L56" s="84">
        <f t="shared" si="4"/>
        <v>11.99172</v>
      </c>
      <c r="M56" s="84">
        <f>(D11/L56)*100</f>
        <v>35.13468242739444</v>
      </c>
    </row>
    <row r="57" spans="1:13" ht="12.75">
      <c r="A57" s="38">
        <v>26</v>
      </c>
      <c r="B57" s="84">
        <f>((0.0000000338)*(((A57*A57)*B12)*((A57*A57)*B12)))*1000</f>
        <v>3571.0880697024168</v>
      </c>
      <c r="C57" s="84">
        <f>((0.000996)*SQRT(A57)*(B11/B5))*1000</f>
        <v>23.400616910640103</v>
      </c>
      <c r="D57" s="84">
        <f>C57+B6</f>
        <v>23.400616910640103</v>
      </c>
      <c r="E57" s="91">
        <f t="shared" si="0"/>
        <v>-0.028365602019664614</v>
      </c>
      <c r="F57" s="84">
        <f>2*B3*A57*B17*1000000</f>
        <v>403.85219243961365</v>
      </c>
      <c r="G57" s="91">
        <f>(1/(2*B3*A57*F57*1000000))*1000000000000</f>
        <v>15.157386983823786</v>
      </c>
      <c r="H57" s="84">
        <f t="shared" si="1"/>
        <v>56.17658416114636</v>
      </c>
      <c r="I57" s="91">
        <f t="shared" si="2"/>
        <v>462.8262894272323</v>
      </c>
      <c r="J57" s="84">
        <f>SQRT(B7*F57*H57)</f>
        <v>336.80140051109817</v>
      </c>
      <c r="K57" s="84">
        <f t="shared" si="3"/>
        <v>4.490685340147976</v>
      </c>
      <c r="L57" s="84">
        <f t="shared" si="4"/>
        <v>11.5305</v>
      </c>
      <c r="M57" s="84">
        <f>(D11/L57)*100</f>
        <v>36.540069724490216</v>
      </c>
    </row>
    <row r="58" spans="1:13" ht="12.75">
      <c r="A58" s="38">
        <v>27</v>
      </c>
      <c r="B58" s="84">
        <f>((0.0000000338)*(((A58*A58)*B12)*((A58*A58)*B12)))*1000</f>
        <v>4153.002816013801</v>
      </c>
      <c r="C58" s="84">
        <f>((0.000996)*SQRT(A58)*(B11/B5))*1000</f>
        <v>23.846383001460108</v>
      </c>
      <c r="D58" s="84">
        <f>C58+B6</f>
        <v>23.846383001460108</v>
      </c>
      <c r="E58" s="91">
        <f t="shared" si="0"/>
        <v>-0.024865701872836994</v>
      </c>
      <c r="F58" s="84">
        <f>2*B3*A58*B17*1000000</f>
        <v>419.3849690719064</v>
      </c>
      <c r="G58" s="91">
        <f>(1/(2*B3*A58*F58*1000000))*1000000000000</f>
        <v>14.055409603655526</v>
      </c>
      <c r="H58" s="84">
        <f t="shared" si="1"/>
        <v>50.20350856463541</v>
      </c>
      <c r="I58" s="91">
        <f t="shared" si="2"/>
        <v>537.8110170375516</v>
      </c>
      <c r="J58" s="84">
        <f>SQRT(B7*F58*H58)</f>
        <v>324.45798562125736</v>
      </c>
      <c r="K58" s="84">
        <f t="shared" si="3"/>
        <v>4.326106474950098</v>
      </c>
      <c r="L58" s="84">
        <f t="shared" si="4"/>
        <v>11.103444444444445</v>
      </c>
      <c r="M58" s="84">
        <f>(D11/L58)*100</f>
        <v>37.945457021585995</v>
      </c>
    </row>
    <row r="59" spans="1:13" ht="12.75">
      <c r="A59" s="38">
        <v>28</v>
      </c>
      <c r="B59" s="84">
        <f>((0.0000000338)*(((A59*A59)*B12)*((A59*A59)*B12)))*1000</f>
        <v>4803.295377811983</v>
      </c>
      <c r="C59" s="84">
        <f>((0.000996)*SQRT(A59)*(B11/B5))*1000</f>
        <v>24.28396781224426</v>
      </c>
      <c r="D59" s="84">
        <f>C59+B6</f>
        <v>24.28396781224426</v>
      </c>
      <c r="E59" s="91">
        <f t="shared" si="0"/>
        <v>-0.02190126208300579</v>
      </c>
      <c r="F59" s="84">
        <f>2*B3*A59*B17*1000000</f>
        <v>434.91774570419926</v>
      </c>
      <c r="G59" s="91">
        <f>(1/(2*B3*A59*F59*1000000))*1000000000000</f>
        <v>13.069379593194997</v>
      </c>
      <c r="H59" s="84">
        <f t="shared" si="1"/>
        <v>45.04511625463118</v>
      </c>
      <c r="I59" s="91">
        <f t="shared" si="2"/>
        <v>621.5990173434453</v>
      </c>
      <c r="J59" s="84">
        <f>SQRT(B7*F59*H59)</f>
        <v>312.9769992862717</v>
      </c>
      <c r="K59" s="84">
        <f t="shared" si="3"/>
        <v>4.173026657150289</v>
      </c>
      <c r="L59" s="84">
        <f t="shared" si="4"/>
        <v>10.706892857142858</v>
      </c>
      <c r="M59" s="84">
        <f>(D11/L59)*100</f>
        <v>39.35084431868177</v>
      </c>
    </row>
    <row r="60" spans="1:13" ht="12.75">
      <c r="A60" s="38">
        <v>29</v>
      </c>
      <c r="B60" s="84">
        <f>((0.0000000338)*(((A60*A60)*B12)*((A60*A60)*B12)))*1000</f>
        <v>5527.123396036543</v>
      </c>
      <c r="C60" s="84">
        <f>((0.000996)*SQRT(A60)*(B11/B5))*1000</f>
        <v>24.713805922194688</v>
      </c>
      <c r="D60" s="84">
        <f>C60+B6</f>
        <v>24.713805922194688</v>
      </c>
      <c r="E60" s="91">
        <f t="shared" si="0"/>
        <v>-0.01937562147021607</v>
      </c>
      <c r="F60" s="84">
        <f>2*B3*A60*B17*1000000</f>
        <v>450.4505223364921</v>
      </c>
      <c r="G60" s="91">
        <f>(1/(2*B3*A60*F60*1000000))*1000000000000</f>
        <v>12.183583354417216</v>
      </c>
      <c r="H60" s="84">
        <f t="shared" si="1"/>
        <v>40.56769911927255</v>
      </c>
      <c r="I60" s="91">
        <f t="shared" si="2"/>
        <v>714.854444042722</v>
      </c>
      <c r="J60" s="84">
        <f>SQRT(B7*F60*H60)</f>
        <v>302.2725695317553</v>
      </c>
      <c r="K60" s="84">
        <f t="shared" si="3"/>
        <v>4.030300927090071</v>
      </c>
      <c r="L60" s="84">
        <f t="shared" si="4"/>
        <v>10.337689655172413</v>
      </c>
      <c r="M60" s="84">
        <f>(D11/L60)*100</f>
        <v>40.75623161577755</v>
      </c>
    </row>
    <row r="61" spans="1:13" ht="12.75">
      <c r="A61" s="38">
        <v>30</v>
      </c>
      <c r="B61" s="84">
        <f>((0.0000000338)*(((A61*A61)*B12)*((A61*A61)*B12)))*1000</f>
        <v>6329.832062206675</v>
      </c>
      <c r="C61" s="84">
        <f>((0.000996)*SQRT(A61)*(B11/B5))*1000</f>
        <v>25.136294747112096</v>
      </c>
      <c r="D61" s="84">
        <f>C61+B6</f>
        <v>25.136294747112096</v>
      </c>
      <c r="E61" s="91">
        <f t="shared" si="0"/>
        <v>-0.017212045964292825</v>
      </c>
      <c r="F61" s="84">
        <f>2*B3*A61*B17*1000000</f>
        <v>465.9832989687849</v>
      </c>
      <c r="G61" s="91">
        <f>(1/(2*B3*A61*F61*1000000))*1000000000000</f>
        <v>11.38488177896098</v>
      </c>
      <c r="H61" s="84">
        <f t="shared" si="1"/>
        <v>36.66291260592137</v>
      </c>
      <c r="I61" s="91">
        <f t="shared" si="2"/>
        <v>818.265595056808</v>
      </c>
      <c r="J61" s="84">
        <f>SQRT(B7*F61*H61)</f>
        <v>292.2696098289342</v>
      </c>
      <c r="K61" s="84">
        <f t="shared" si="3"/>
        <v>3.8969281310524564</v>
      </c>
      <c r="L61" s="84">
        <f t="shared" si="4"/>
        <v>9.9931</v>
      </c>
      <c r="M61" s="84">
        <f>(D11/L61)*100</f>
        <v>42.16161891287333</v>
      </c>
    </row>
  </sheetData>
  <sheetProtection password="C5A0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Magnetic Loop Antenna Calculator</dc:title>
  <dc:subject/>
  <dc:creator>Stephen R. Yates - AA5TB</dc:creator>
  <cp:keywords/>
  <dc:description/>
  <cp:lastModifiedBy>Stephen R. Yates</cp:lastModifiedBy>
  <cp:lastPrinted>2005-09-21T14:58:07Z</cp:lastPrinted>
  <dcterms:created xsi:type="dcterms:W3CDTF">2004-04-05T15:56:00Z</dcterms:created>
  <dcterms:modified xsi:type="dcterms:W3CDTF">2009-04-28T18:05:12Z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